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omments5.xml" ContentType="application/vnd.openxmlformats-officedocument.spreadsheetml.comments+xml"/>
  <Override PartName="/xl/charts/chart11.xml" ContentType="application/vnd.openxmlformats-officedocument.drawingml.chart+xml"/>
  <Override PartName="/xl/drawings/drawing9.xml" ContentType="application/vnd.openxmlformats-officedocument.drawing+xml"/>
  <Override PartName="/xl/comments6.xml" ContentType="application/vnd.openxmlformats-officedocument.spreadsheetml.comments+xml"/>
  <Override PartName="/xl/charts/chart12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omments7.xml" ContentType="application/vnd.openxmlformats-officedocument.spreadsheetml.comments+xml"/>
  <Override PartName="/xl/charts/chart13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12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vier Ospina\Desktop\"/>
    </mc:Choice>
  </mc:AlternateContent>
  <xr:revisionPtr revIDLastSave="0" documentId="13_ncr:1_{FC75C5D0-7E03-48A6-B4A9-2D7114133A9C}" xr6:coauthVersionLast="47" xr6:coauthVersionMax="47" xr10:uidLastSave="{00000000-0000-0000-0000-000000000000}"/>
  <bookViews>
    <workbookView xWindow="-120" yWindow="-120" windowWidth="20730" windowHeight="11160" firstSheet="3" activeTab="4" xr2:uid="{00000000-000D-0000-FFFF-FFFF00000000}"/>
  </bookViews>
  <sheets>
    <sheet name="Informe 6-5" sheetId="1" state="hidden" r:id="rId1"/>
    <sheet name="informe PARCIAL 1 periodo (2)" sheetId="13" state="hidden" r:id="rId2"/>
    <sheet name="Hoja5" sheetId="14" state="hidden" r:id="rId3"/>
    <sheet name="informe Final 2 periodo" sheetId="5" r:id="rId4"/>
    <sheet name="INFORME FINAL 3ER PERIODO" sheetId="2" r:id="rId5"/>
    <sheet name="Informe" sheetId="11" state="hidden" r:id="rId6"/>
    <sheet name="Hoja3" sheetId="12" state="hidden" r:id="rId7"/>
    <sheet name="Estadisticas" sheetId="6" state="hidden" r:id="rId8"/>
    <sheet name="Estadisticas IPERIODO" sheetId="10" state="hidden" r:id="rId9"/>
    <sheet name="Hoja4" sheetId="15" state="hidden" r:id="rId10"/>
    <sheet name="Hoja2" sheetId="7" state="hidden" r:id="rId11"/>
    <sheet name="Hoja1" sheetId="8" state="hidden" r:id="rId12"/>
  </sheets>
  <definedNames>
    <definedName name="_xlnm._FilterDatabase" localSheetId="3" hidden="1">'informe Final 2 periodo'!$AF$3:$AG$32</definedName>
    <definedName name="BDNOTAS" localSheetId="7">Estadisticas!$1:$1048576</definedName>
    <definedName name="BDNOTAS" localSheetId="8">'Estadisticas IPERIODO'!$1:$1048576</definedName>
    <definedName name="BDNOTAS" localSheetId="1">'informe PARCIAL 1 periodo (2)'!$1:$1048576</definedName>
    <definedName name="BDNOTAS">'informe Final 2 periodo'!$1:$1048576</definedName>
    <definedName name="BDNOTAS2">#REF!</definedName>
    <definedName name="CONSOLIDADOIIP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4" i="5" l="1"/>
  <c r="AJ15" i="5"/>
  <c r="AJ14" i="5"/>
  <c r="AJ13" i="5"/>
  <c r="AJ12" i="5"/>
  <c r="AJ11" i="5"/>
  <c r="AJ10" i="5"/>
  <c r="AJ9" i="5"/>
  <c r="AJ8" i="5"/>
  <c r="AJ7" i="5"/>
  <c r="AP7" i="5" s="1"/>
  <c r="AF29" i="5"/>
  <c r="AF30" i="5"/>
  <c r="E33" i="5"/>
  <c r="AF9" i="5"/>
  <c r="P16" i="10"/>
  <c r="AF5" i="5"/>
  <c r="AF6" i="5"/>
  <c r="AF7" i="5"/>
  <c r="AF8" i="5"/>
  <c r="AF10" i="5"/>
  <c r="AF11" i="5"/>
  <c r="AF12" i="5"/>
  <c r="AF13" i="5"/>
  <c r="AF14" i="5"/>
  <c r="AF15" i="5"/>
  <c r="AF16" i="5"/>
  <c r="AF17" i="5"/>
  <c r="AF18" i="5"/>
  <c r="AF19" i="5"/>
  <c r="AF20" i="5"/>
  <c r="AF21" i="5"/>
  <c r="AF22" i="5"/>
  <c r="AF23" i="5"/>
  <c r="AF24" i="5"/>
  <c r="AF25" i="5"/>
  <c r="AF26" i="5"/>
  <c r="AF27" i="5"/>
  <c r="AF28" i="5"/>
  <c r="V33" i="5"/>
  <c r="G33" i="5"/>
  <c r="AK8" i="13"/>
  <c r="AK9" i="13"/>
  <c r="AK10" i="13"/>
  <c r="AK11" i="13"/>
  <c r="AK12" i="13"/>
  <c r="AK13" i="13"/>
  <c r="AK14" i="13"/>
  <c r="AK15" i="13"/>
  <c r="V42" i="13"/>
  <c r="D16" i="14" s="1"/>
  <c r="U42" i="13"/>
  <c r="D15" i="14" s="1"/>
  <c r="T42" i="13"/>
  <c r="D14" i="14" s="1"/>
  <c r="S42" i="13"/>
  <c r="R42" i="13"/>
  <c r="D13" i="14" s="1"/>
  <c r="Q42" i="13"/>
  <c r="D12" i="14" s="1"/>
  <c r="P42" i="13"/>
  <c r="O42" i="13"/>
  <c r="D11" i="14" s="1"/>
  <c r="N42" i="13"/>
  <c r="D10" i="14" s="1"/>
  <c r="M42" i="13"/>
  <c r="D9" i="14" s="1"/>
  <c r="L42" i="13"/>
  <c r="K42" i="13"/>
  <c r="D8" i="14" s="1"/>
  <c r="J42" i="13"/>
  <c r="D7" i="14" s="1"/>
  <c r="I42" i="13"/>
  <c r="D6" i="14" s="1"/>
  <c r="H42" i="13"/>
  <c r="D5" i="14" s="1"/>
  <c r="G42" i="13"/>
  <c r="F42" i="13"/>
  <c r="D4" i="14" s="1"/>
  <c r="E42" i="13"/>
  <c r="D3" i="14" s="1"/>
  <c r="D42" i="13"/>
  <c r="AF41" i="13"/>
  <c r="AF40" i="13"/>
  <c r="Y40" i="13"/>
  <c r="X40" i="13"/>
  <c r="W40" i="13" s="1"/>
  <c r="AF39" i="13"/>
  <c r="Y39" i="13"/>
  <c r="X39" i="13"/>
  <c r="AF38" i="13"/>
  <c r="Y38" i="13"/>
  <c r="X38" i="13"/>
  <c r="AA38" i="13" s="1"/>
  <c r="AF37" i="13"/>
  <c r="Y37" i="13"/>
  <c r="X37" i="13"/>
  <c r="W37" i="13" s="1"/>
  <c r="AF36" i="13"/>
  <c r="Y36" i="13"/>
  <c r="X36" i="13"/>
  <c r="W36" i="13" s="1"/>
  <c r="AF35" i="13"/>
  <c r="Y35" i="13"/>
  <c r="X35" i="13"/>
  <c r="AF34" i="13"/>
  <c r="AE34" i="13"/>
  <c r="Y34" i="13"/>
  <c r="X34" i="13"/>
  <c r="AF33" i="13"/>
  <c r="Y33" i="13"/>
  <c r="X33" i="13"/>
  <c r="AA33" i="13" s="1"/>
  <c r="AF32" i="13"/>
  <c r="Y32" i="13"/>
  <c r="X32" i="13"/>
  <c r="AF31" i="13"/>
  <c r="Y31" i="13"/>
  <c r="X31" i="13"/>
  <c r="W31" i="13" s="1"/>
  <c r="AF30" i="13"/>
  <c r="Y30" i="13"/>
  <c r="X30" i="13"/>
  <c r="AF29" i="13"/>
  <c r="Y29" i="13"/>
  <c r="X29" i="13"/>
  <c r="AF28" i="13"/>
  <c r="Y28" i="13"/>
  <c r="X28" i="13"/>
  <c r="AF27" i="13"/>
  <c r="Y27" i="13"/>
  <c r="X27" i="13"/>
  <c r="W27" i="13" s="1"/>
  <c r="AF26" i="13"/>
  <c r="Y26" i="13"/>
  <c r="X26" i="13"/>
  <c r="AF25" i="13"/>
  <c r="Y25" i="13"/>
  <c r="X25" i="13"/>
  <c r="Z25" i="13" s="1"/>
  <c r="AF24" i="13"/>
  <c r="Y24" i="13"/>
  <c r="X24" i="13"/>
  <c r="AF23" i="13"/>
  <c r="Y23" i="13"/>
  <c r="X23" i="13"/>
  <c r="AF22" i="13"/>
  <c r="Y22" i="13"/>
  <c r="X22" i="13"/>
  <c r="W22" i="13" s="1"/>
  <c r="AF21" i="13"/>
  <c r="Y21" i="13"/>
  <c r="X21" i="13"/>
  <c r="W21" i="13" s="1"/>
  <c r="AF20" i="13"/>
  <c r="Y20" i="13"/>
  <c r="X20" i="13"/>
  <c r="W20" i="13" s="1"/>
  <c r="AF19" i="13"/>
  <c r="Y19" i="13"/>
  <c r="X19" i="13"/>
  <c r="W19" i="13" s="1"/>
  <c r="AF18" i="13"/>
  <c r="Y18" i="13"/>
  <c r="X18" i="13"/>
  <c r="AF17" i="13"/>
  <c r="Y17" i="13"/>
  <c r="X17" i="13"/>
  <c r="AA17" i="13" s="1"/>
  <c r="AF16" i="13"/>
  <c r="Y16" i="13"/>
  <c r="X16" i="13"/>
  <c r="W16" i="13" s="1"/>
  <c r="AJ15" i="13"/>
  <c r="AF15" i="13"/>
  <c r="Y15" i="13"/>
  <c r="X15" i="13"/>
  <c r="AJ14" i="13"/>
  <c r="AF14" i="13"/>
  <c r="Y14" i="13"/>
  <c r="X14" i="13"/>
  <c r="AJ13" i="13"/>
  <c r="AF13" i="13"/>
  <c r="Y13" i="13"/>
  <c r="X13" i="13"/>
  <c r="AJ12" i="13"/>
  <c r="AF12" i="13"/>
  <c r="Y12" i="13"/>
  <c r="X12" i="13"/>
  <c r="AJ11" i="13"/>
  <c r="AF11" i="13"/>
  <c r="Y11" i="13"/>
  <c r="X11" i="13"/>
  <c r="AJ10" i="13"/>
  <c r="AF10" i="13"/>
  <c r="Y10" i="13"/>
  <c r="X10" i="13"/>
  <c r="W10" i="13" s="1"/>
  <c r="AJ9" i="13"/>
  <c r="AF9" i="13"/>
  <c r="Y9" i="13"/>
  <c r="X9" i="13"/>
  <c r="AJ8" i="13"/>
  <c r="AF8" i="13"/>
  <c r="Y8" i="13"/>
  <c r="X8" i="13"/>
  <c r="W8" i="13" s="1"/>
  <c r="AJ7" i="13"/>
  <c r="AJ17" i="13" s="1"/>
  <c r="AK7" i="13" s="1"/>
  <c r="AF7" i="13"/>
  <c r="Y7" i="13"/>
  <c r="X7" i="13"/>
  <c r="AF6" i="13"/>
  <c r="Y6" i="13"/>
  <c r="X6" i="13"/>
  <c r="W6" i="13" s="1"/>
  <c r="AF5" i="13"/>
  <c r="Y5" i="13"/>
  <c r="X5" i="13"/>
  <c r="W5" i="13" s="1"/>
  <c r="AF4" i="13"/>
  <c r="Y4" i="13"/>
  <c r="X4" i="13"/>
  <c r="W4" i="13" s="1"/>
  <c r="F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D33" i="5"/>
  <c r="AJ17" i="5" l="1"/>
  <c r="AP9" i="5" s="1"/>
  <c r="AP8" i="5" s="1"/>
  <c r="AQ8" i="5" s="1"/>
  <c r="AA12" i="13"/>
  <c r="Z14" i="13"/>
  <c r="Z7" i="13"/>
  <c r="AA9" i="13"/>
  <c r="Z11" i="13"/>
  <c r="AA13" i="13"/>
  <c r="Z15" i="13"/>
  <c r="AA26" i="13"/>
  <c r="AA39" i="13"/>
  <c r="AA29" i="13"/>
  <c r="AA24" i="13"/>
  <c r="Z30" i="13"/>
  <c r="AA35" i="13"/>
  <c r="AO19" i="13"/>
  <c r="AO16" i="13"/>
  <c r="AO20" i="13"/>
  <c r="AA16" i="13"/>
  <c r="Z21" i="13"/>
  <c r="Z34" i="13"/>
  <c r="AO13" i="13"/>
  <c r="AO21" i="13"/>
  <c r="AO12" i="13"/>
  <c r="AO14" i="13"/>
  <c r="Z32" i="13"/>
  <c r="AO7" i="13"/>
  <c r="AO15" i="13"/>
  <c r="AO8" i="13"/>
  <c r="AA27" i="13"/>
  <c r="AO9" i="13"/>
  <c r="AO17" i="13"/>
  <c r="AO10" i="13"/>
  <c r="AO18" i="13"/>
  <c r="AA18" i="13"/>
  <c r="AA23" i="13"/>
  <c r="Z28" i="13"/>
  <c r="AO11" i="13"/>
  <c r="W14" i="13"/>
  <c r="W33" i="13"/>
  <c r="Z24" i="13"/>
  <c r="Z10" i="13"/>
  <c r="AA14" i="13"/>
  <c r="W29" i="13"/>
  <c r="Z29" i="13"/>
  <c r="W24" i="13"/>
  <c r="Z6" i="13"/>
  <c r="Z8" i="13"/>
  <c r="W12" i="13"/>
  <c r="Z37" i="13"/>
  <c r="Z33" i="13"/>
  <c r="AA10" i="13"/>
  <c r="AA11" i="13"/>
  <c r="W28" i="13"/>
  <c r="AA6" i="13"/>
  <c r="W34" i="13"/>
  <c r="W38" i="13"/>
  <c r="AA15" i="13"/>
  <c r="AA28" i="13"/>
  <c r="AA34" i="13"/>
  <c r="Z38" i="13"/>
  <c r="AA7" i="13"/>
  <c r="Z12" i="13"/>
  <c r="AA31" i="13"/>
  <c r="AF42" i="13"/>
  <c r="AA19" i="13"/>
  <c r="AA30" i="13"/>
  <c r="AA32" i="13"/>
  <c r="AA21" i="13"/>
  <c r="W23" i="13"/>
  <c r="AA25" i="13"/>
  <c r="W13" i="13"/>
  <c r="Z16" i="13"/>
  <c r="Z23" i="13"/>
  <c r="W30" i="13"/>
  <c r="W9" i="13"/>
  <c r="Z22" i="13"/>
  <c r="W25" i="13"/>
  <c r="W32" i="13"/>
  <c r="Z5" i="13"/>
  <c r="AA5" i="13"/>
  <c r="Z9" i="13"/>
  <c r="Z13" i="13"/>
  <c r="W18" i="13"/>
  <c r="AA22" i="13"/>
  <c r="W26" i="13"/>
  <c r="W35" i="13"/>
  <c r="AA37" i="13"/>
  <c r="W39" i="13"/>
  <c r="Z4" i="13"/>
  <c r="W7" i="13"/>
  <c r="W11" i="13"/>
  <c r="W15" i="13"/>
  <c r="Z20" i="13"/>
  <c r="Z36" i="13"/>
  <c r="Z40" i="13"/>
  <c r="Z19" i="13"/>
  <c r="AA20" i="13"/>
  <c r="Z27" i="13"/>
  <c r="Z31" i="13"/>
  <c r="AA36" i="13"/>
  <c r="AA40" i="13"/>
  <c r="Z17" i="13"/>
  <c r="Z18" i="13"/>
  <c r="Z26" i="13"/>
  <c r="Z35" i="13"/>
  <c r="Z39" i="13"/>
  <c r="AA8" i="13"/>
  <c r="AA4" i="13"/>
  <c r="C5" i="11"/>
  <c r="C2" i="11"/>
  <c r="C3" i="11"/>
  <c r="C4" i="11"/>
  <c r="C6" i="2"/>
  <c r="AK13" i="5" l="1"/>
  <c r="AQ7" i="5"/>
  <c r="AK7" i="5"/>
  <c r="AK9" i="5"/>
  <c r="AK12" i="5"/>
  <c r="AK10" i="5"/>
  <c r="AK8" i="5"/>
  <c r="AK15" i="5"/>
  <c r="AK11" i="5"/>
  <c r="AK14" i="5"/>
  <c r="AC57" i="13"/>
  <c r="AD57" i="13" s="1"/>
  <c r="AC56" i="13"/>
  <c r="AD56" i="13" s="1"/>
  <c r="AC55" i="13"/>
  <c r="AD55" i="13" s="1"/>
  <c r="AD11" i="13"/>
  <c r="AD7" i="13"/>
  <c r="AD14" i="13"/>
  <c r="AD10" i="13"/>
  <c r="AD6" i="13"/>
  <c r="AD13" i="13"/>
  <c r="AD9" i="13"/>
  <c r="AD12" i="13"/>
  <c r="AD8" i="13"/>
  <c r="C6" i="11"/>
  <c r="D5" i="11" s="1"/>
  <c r="AK17" i="5" l="1"/>
  <c r="D4" i="11"/>
  <c r="D2" i="11"/>
  <c r="D3" i="11"/>
  <c r="D9" i="2" l="1"/>
  <c r="Y5" i="5"/>
  <c r="Y6" i="5"/>
  <c r="Y7" i="5"/>
  <c r="Y8" i="5"/>
  <c r="Y9" i="5"/>
  <c r="Y10" i="5"/>
  <c r="Y11" i="5"/>
  <c r="Y12" i="5"/>
  <c r="Y13" i="5"/>
  <c r="Y14" i="5"/>
  <c r="Y15" i="5"/>
  <c r="Y16" i="5"/>
  <c r="Y17" i="5"/>
  <c r="Y18" i="5"/>
  <c r="Y19" i="5"/>
  <c r="Y20" i="5"/>
  <c r="Y21" i="5"/>
  <c r="Y22" i="5"/>
  <c r="Y23" i="5"/>
  <c r="Y24" i="5"/>
  <c r="Y25" i="5"/>
  <c r="Y26" i="5"/>
  <c r="Y27" i="5"/>
  <c r="Y28" i="5"/>
  <c r="Y29" i="5"/>
  <c r="Y4" i="5"/>
  <c r="X6" i="5"/>
  <c r="X5" i="5"/>
  <c r="X7" i="5"/>
  <c r="W7" i="5" s="1"/>
  <c r="X8" i="5"/>
  <c r="X9" i="5"/>
  <c r="X10" i="5"/>
  <c r="W10" i="5" s="1"/>
  <c r="X11" i="5"/>
  <c r="W11" i="5" s="1"/>
  <c r="X12" i="5"/>
  <c r="W12" i="5" s="1"/>
  <c r="X13" i="5"/>
  <c r="X14" i="5"/>
  <c r="W14" i="5" s="1"/>
  <c r="X15" i="5"/>
  <c r="W15" i="5" s="1"/>
  <c r="X16" i="5"/>
  <c r="W16" i="5" s="1"/>
  <c r="X17" i="5"/>
  <c r="X18" i="5"/>
  <c r="X19" i="5"/>
  <c r="W19" i="5" s="1"/>
  <c r="X20" i="5"/>
  <c r="X21" i="5"/>
  <c r="W21" i="5" s="1"/>
  <c r="X22" i="5"/>
  <c r="X23" i="5"/>
  <c r="W23" i="5" s="1"/>
  <c r="X24" i="5"/>
  <c r="X25" i="5"/>
  <c r="W25" i="5" s="1"/>
  <c r="X26" i="5"/>
  <c r="X27" i="5"/>
  <c r="W27" i="5" s="1"/>
  <c r="X28" i="5"/>
  <c r="W28" i="5" s="1"/>
  <c r="X29" i="5"/>
  <c r="X4" i="5"/>
  <c r="W4" i="5" s="1"/>
  <c r="D27" i="2"/>
  <c r="D16" i="2"/>
  <c r="D15" i="2"/>
  <c r="D14" i="2"/>
  <c r="D13" i="2"/>
  <c r="M6" i="10"/>
  <c r="M7" i="10"/>
  <c r="M8" i="10"/>
  <c r="M9" i="10"/>
  <c r="M10" i="10"/>
  <c r="M11" i="10"/>
  <c r="M12" i="10"/>
  <c r="M13" i="10"/>
  <c r="M14" i="10"/>
  <c r="M15" i="10"/>
  <c r="M16" i="10"/>
  <c r="M17" i="10"/>
  <c r="M18" i="10"/>
  <c r="M19" i="10"/>
  <c r="M20" i="10"/>
  <c r="M21" i="10"/>
  <c r="M22" i="10"/>
  <c r="M23" i="10"/>
  <c r="M24" i="10"/>
  <c r="M25" i="10"/>
  <c r="M26" i="10"/>
  <c r="M27" i="10"/>
  <c r="M28" i="10"/>
  <c r="M29" i="10"/>
  <c r="M5" i="10"/>
  <c r="L27" i="7"/>
  <c r="M27" i="7" s="1"/>
  <c r="M26" i="7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5" i="6"/>
  <c r="Q11" i="6" s="1"/>
  <c r="L41" i="6"/>
  <c r="L42" i="6" s="1"/>
  <c r="I41" i="6"/>
  <c r="I42" i="6" s="1"/>
  <c r="H41" i="6"/>
  <c r="H42" i="6" s="1"/>
  <c r="G41" i="6"/>
  <c r="G42" i="6" s="1"/>
  <c r="F41" i="6"/>
  <c r="F42" i="6" s="1"/>
  <c r="E41" i="6"/>
  <c r="E42" i="6" s="1"/>
  <c r="D26" i="2"/>
  <c r="D25" i="2"/>
  <c r="D24" i="2"/>
  <c r="D23" i="2"/>
  <c r="D22" i="2"/>
  <c r="D21" i="2"/>
  <c r="D20" i="2"/>
  <c r="D19" i="2"/>
  <c r="D18" i="2"/>
  <c r="D17" i="2"/>
  <c r="D12" i="2"/>
  <c r="D11" i="2"/>
  <c r="D10" i="2"/>
  <c r="C22" i="1"/>
  <c r="C16" i="1"/>
  <c r="C21" i="1"/>
  <c r="C28" i="1"/>
  <c r="C15" i="1"/>
  <c r="C10" i="1"/>
  <c r="C13" i="1"/>
  <c r="C3" i="1"/>
  <c r="C12" i="1"/>
  <c r="C7" i="1"/>
  <c r="C17" i="1"/>
  <c r="C6" i="1"/>
  <c r="C11" i="1"/>
  <c r="C19" i="1"/>
  <c r="C9" i="1"/>
  <c r="C14" i="1"/>
  <c r="C4" i="1"/>
  <c r="C8" i="1"/>
  <c r="C20" i="1"/>
  <c r="C18" i="1"/>
  <c r="C5" i="1"/>
  <c r="C27" i="1"/>
  <c r="C29" i="1" s="1"/>
  <c r="P6" i="10" l="1"/>
  <c r="C5" i="8"/>
  <c r="P13" i="10"/>
  <c r="D28" i="2"/>
  <c r="G11" i="2" s="1"/>
  <c r="AA6" i="5"/>
  <c r="Q8" i="6"/>
  <c r="Q10" i="6"/>
  <c r="AA5" i="5"/>
  <c r="P12" i="10"/>
  <c r="C12" i="8"/>
  <c r="C7" i="8"/>
  <c r="AA24" i="5"/>
  <c r="W8" i="5"/>
  <c r="Z8" i="5"/>
  <c r="Q15" i="6"/>
  <c r="AA17" i="5"/>
  <c r="AA9" i="5"/>
  <c r="AA26" i="5"/>
  <c r="AA20" i="5"/>
  <c r="P7" i="10"/>
  <c r="P8" i="10"/>
  <c r="Q6" i="6"/>
  <c r="AA13" i="5"/>
  <c r="P9" i="10"/>
  <c r="C8" i="8"/>
  <c r="Q13" i="6"/>
  <c r="P11" i="10"/>
  <c r="C11" i="8"/>
  <c r="Q9" i="6"/>
  <c r="C13" i="8"/>
  <c r="AA22" i="5"/>
  <c r="C4" i="8"/>
  <c r="B25" i="8" s="1"/>
  <c r="M41" i="6"/>
  <c r="M42" i="6" s="1"/>
  <c r="P14" i="10"/>
  <c r="W24" i="5"/>
  <c r="Q14" i="6"/>
  <c r="W20" i="5"/>
  <c r="AA18" i="5"/>
  <c r="C10" i="8"/>
  <c r="C6" i="8"/>
  <c r="P10" i="10"/>
  <c r="C9" i="8"/>
  <c r="Q7" i="6"/>
  <c r="AA29" i="5"/>
  <c r="AA28" i="5"/>
  <c r="Z27" i="5"/>
  <c r="Z25" i="5"/>
  <c r="Z23" i="5"/>
  <c r="Z21" i="5"/>
  <c r="Z19" i="5"/>
  <c r="Z17" i="5"/>
  <c r="Z15" i="5"/>
  <c r="Z13" i="5"/>
  <c r="Z11" i="5"/>
  <c r="Z9" i="5"/>
  <c r="Z7" i="5"/>
  <c r="Z5" i="5"/>
  <c r="AA4" i="5"/>
  <c r="AA27" i="5"/>
  <c r="AA25" i="5"/>
  <c r="AA23" i="5"/>
  <c r="AA21" i="5"/>
  <c r="AA19" i="5"/>
  <c r="AA15" i="5"/>
  <c r="AA11" i="5"/>
  <c r="AA7" i="5"/>
  <c r="Q12" i="6"/>
  <c r="Z29" i="5"/>
  <c r="Z28" i="5"/>
  <c r="Z26" i="5"/>
  <c r="Z24" i="5"/>
  <c r="Z22" i="5"/>
  <c r="Z20" i="5"/>
  <c r="Z18" i="5"/>
  <c r="Z16" i="5"/>
  <c r="Z14" i="5"/>
  <c r="Z12" i="5"/>
  <c r="Z10" i="5"/>
  <c r="Z6" i="5"/>
  <c r="Z4" i="5"/>
  <c r="AA16" i="5"/>
  <c r="AA14" i="5"/>
  <c r="AA12" i="5"/>
  <c r="AA10" i="5"/>
  <c r="AA8" i="5"/>
  <c r="W13" i="5"/>
  <c r="W6" i="5"/>
  <c r="W29" i="5"/>
  <c r="W9" i="5"/>
  <c r="W26" i="5"/>
  <c r="W22" i="5"/>
  <c r="W18" i="5"/>
  <c r="W5" i="5"/>
  <c r="D27" i="1"/>
  <c r="D29" i="1" s="1"/>
  <c r="D28" i="1"/>
  <c r="B40" i="8" l="1"/>
  <c r="B41" i="8"/>
  <c r="AC43" i="5"/>
  <c r="AD43" i="5" s="1"/>
  <c r="AD13" i="5"/>
  <c r="AD11" i="5"/>
  <c r="AD9" i="5"/>
  <c r="AD7" i="5"/>
  <c r="AD14" i="5"/>
  <c r="AD12" i="5"/>
  <c r="AD10" i="5"/>
  <c r="AD8" i="5"/>
  <c r="AD6" i="5"/>
  <c r="Q16" i="6"/>
  <c r="R8" i="6" s="1"/>
  <c r="C14" i="8"/>
  <c r="D11" i="8" s="1"/>
  <c r="Q21" i="6"/>
  <c r="B26" i="8"/>
  <c r="P21" i="10"/>
  <c r="R13" i="6"/>
  <c r="R7" i="6"/>
  <c r="R6" i="6"/>
  <c r="AC45" i="5"/>
  <c r="AD45" i="5" s="1"/>
  <c r="AC44" i="5"/>
  <c r="AD44" i="5" s="1"/>
  <c r="D13" i="8" l="1"/>
  <c r="C25" i="8"/>
  <c r="B42" i="8"/>
  <c r="C40" i="8" s="1"/>
  <c r="D9" i="8"/>
  <c r="C26" i="8"/>
  <c r="D4" i="8"/>
  <c r="D7" i="8"/>
  <c r="D12" i="8"/>
  <c r="D5" i="8"/>
  <c r="D8" i="8"/>
  <c r="D10" i="8"/>
  <c r="R10" i="6"/>
  <c r="R15" i="6"/>
  <c r="R12" i="6"/>
  <c r="R14" i="6"/>
  <c r="R11" i="6"/>
  <c r="R9" i="6"/>
  <c r="D6" i="8"/>
  <c r="Q8" i="10"/>
  <c r="Q10" i="10"/>
  <c r="Q15" i="10"/>
  <c r="Q14" i="10"/>
  <c r="Q11" i="10"/>
  <c r="Q9" i="10"/>
  <c r="Q6" i="10"/>
  <c r="Q12" i="10"/>
  <c r="Q7" i="10"/>
  <c r="Q13" i="10"/>
  <c r="C41" i="8" l="1"/>
  <c r="D14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IE ANGELA RESTREPO</author>
  </authors>
  <commentList>
    <comment ref="E2" authorId="0" shapeId="0" xr:uid="{626A32AC-7D51-43CF-B94C-C7E2B8E0DA56}">
      <text>
        <r>
          <rPr>
            <b/>
            <sz val="8"/>
            <color indexed="81"/>
            <rFont val="Tahoma"/>
            <family val="2"/>
          </rPr>
          <t>Ciencias Naturales</t>
        </r>
      </text>
    </comment>
    <comment ref="F2" authorId="0" shapeId="0" xr:uid="{8F076BAD-6CBF-4474-850E-18A04838DE8A}">
      <text>
        <r>
          <rPr>
            <b/>
            <sz val="8"/>
            <color indexed="81"/>
            <rFont val="Tahoma"/>
            <family val="2"/>
          </rPr>
          <t>Ciencias De La Investigacion</t>
        </r>
      </text>
    </comment>
    <comment ref="G2" authorId="0" shapeId="0" xr:uid="{8A3FBFD7-E1AD-44AA-8755-FA90728C095B}">
      <text>
        <r>
          <rPr>
            <b/>
            <sz val="8"/>
            <color indexed="81"/>
            <rFont val="Tahoma"/>
            <family val="2"/>
          </rPr>
          <t>Ciencias Sociales (historia, Geografía, Constitución Política Y Democracia.)</t>
        </r>
      </text>
    </comment>
    <comment ref="I2" authorId="0" shapeId="0" xr:uid="{12004797-B49C-44FD-8F15-BDFEA4C23B4B}">
      <text>
        <r>
          <rPr>
            <b/>
            <sz val="8"/>
            <color indexed="81"/>
            <rFont val="Tahoma"/>
            <family val="2"/>
          </rPr>
          <t>Educacion Etica  Y  En Valores Humanos</t>
        </r>
      </text>
    </comment>
    <comment ref="J2" authorId="0" shapeId="0" xr:uid="{9ADFCCF9-A17F-418B-A148-662BD9788BE5}">
      <text>
        <r>
          <rPr>
            <b/>
            <sz val="8"/>
            <color indexed="81"/>
            <rFont val="Tahoma"/>
            <family val="2"/>
          </rPr>
          <t>Educación Artistica Y Cultural</t>
        </r>
      </text>
    </comment>
    <comment ref="K2" authorId="0" shapeId="0" xr:uid="{3DE5EAB4-012F-4006-90EA-0FB654DDE991}">
      <text>
        <r>
          <rPr>
            <b/>
            <sz val="8"/>
            <color indexed="81"/>
            <rFont val="Tahoma"/>
            <family val="2"/>
          </rPr>
          <t>Educación Física, Recreación Y Deportes</t>
        </r>
      </text>
    </comment>
    <comment ref="M2" authorId="0" shapeId="0" xr:uid="{D288E43B-F8F5-4490-A5DB-16C4E18954D0}">
      <text>
        <r>
          <rPr>
            <b/>
            <sz val="8"/>
            <color indexed="81"/>
            <rFont val="Tahoma"/>
            <family val="2"/>
          </rPr>
          <t>Lengua Castellana</t>
        </r>
      </text>
    </comment>
    <comment ref="N2" authorId="0" shapeId="0" xr:uid="{93F0BEC1-477D-41E5-B8FD-DA0171CE3964}">
      <text>
        <r>
          <rPr>
            <b/>
            <sz val="8"/>
            <color indexed="81"/>
            <rFont val="Tahoma"/>
            <family val="2"/>
          </rPr>
          <t>Idioma Extranjero</t>
        </r>
      </text>
    </comment>
    <comment ref="O2" authorId="0" shapeId="0" xr:uid="{BA342720-9416-4694-ABA5-D1D0653EA478}">
      <text>
        <r>
          <rPr>
            <b/>
            <sz val="8"/>
            <color indexed="81"/>
            <rFont val="Tahoma"/>
            <family val="2"/>
          </rPr>
          <t>Lectoescritura</t>
        </r>
      </text>
    </comment>
    <comment ref="Q2" authorId="0" shapeId="0" xr:uid="{520315FF-7DE6-4392-B4DE-D06AB42694A3}">
      <text>
        <r>
          <rPr>
            <b/>
            <sz val="8"/>
            <color indexed="81"/>
            <rFont val="Tahoma"/>
            <family val="2"/>
          </rPr>
          <t>Estadistica</t>
        </r>
      </text>
    </comment>
    <comment ref="R2" authorId="0" shapeId="0" xr:uid="{7F21D12B-773E-4100-BB77-5E1CD4E141B0}">
      <text>
        <r>
          <rPr>
            <b/>
            <sz val="8"/>
            <color indexed="81"/>
            <rFont val="Tahoma"/>
            <family val="2"/>
          </rPr>
          <t>Matematicas.</t>
        </r>
      </text>
    </comment>
    <comment ref="S2" authorId="0" shapeId="0" xr:uid="{F70DD5F4-26BD-4F54-B712-A1F594288BFE}">
      <text>
        <r>
          <rPr>
            <b/>
            <sz val="8"/>
            <color indexed="81"/>
            <rFont val="Tahoma"/>
            <family val="2"/>
          </rPr>
          <t>Emprendimiento</t>
        </r>
      </text>
    </comment>
    <comment ref="T2" authorId="0" shapeId="0" xr:uid="{8749A513-F584-4B3F-A609-90C79F12F47D}">
      <text>
        <r>
          <rPr>
            <b/>
            <sz val="8"/>
            <color indexed="81"/>
            <rFont val="Tahoma"/>
            <family val="2"/>
          </rPr>
          <t>Tecnologia</t>
        </r>
      </text>
    </comment>
    <comment ref="V2" authorId="0" shapeId="0" xr:uid="{E5921991-22F8-4E80-B202-6BD7DAEF60B6}">
      <text>
        <r>
          <rPr>
            <b/>
            <sz val="8"/>
            <color indexed="81"/>
            <rFont val="Tahoma"/>
            <family val="2"/>
          </rPr>
          <t>Educacion Religiosa</t>
        </r>
      </text>
    </comment>
    <comment ref="W40" authorId="0" shapeId="0" xr:uid="{EAC97674-1F5F-4A14-8E7A-107782E43F99}">
      <text>
        <r>
          <rPr>
            <b/>
            <sz val="8"/>
            <color indexed="81"/>
            <rFont val="Tahoma"/>
            <family val="2"/>
          </rPr>
          <t>Promedio de perdidos por período y materia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IE ANGELA RESTREPO</author>
  </authors>
  <commentList>
    <comment ref="C3" authorId="0" shapeId="0" xr:uid="{F8480912-9804-4EED-BAA3-E2EF588AEF04}">
      <text>
        <r>
          <rPr>
            <b/>
            <sz val="8"/>
            <color indexed="81"/>
            <rFont val="Tahoma"/>
            <family val="2"/>
          </rPr>
          <t>Ciencias Naturales</t>
        </r>
      </text>
    </comment>
    <comment ref="C4" authorId="0" shapeId="0" xr:uid="{301FBEB3-EC1B-4E05-B1CE-1866E44A794E}">
      <text>
        <r>
          <rPr>
            <b/>
            <sz val="8"/>
            <color indexed="81"/>
            <rFont val="Tahoma"/>
            <family val="2"/>
          </rPr>
          <t>Ciencias De La Investigacion</t>
        </r>
      </text>
    </comment>
    <comment ref="C6" authorId="0" shapeId="0" xr:uid="{D1A8E7C8-D942-486F-A290-E20DCF222736}">
      <text>
        <r>
          <rPr>
            <b/>
            <sz val="8"/>
            <color indexed="81"/>
            <rFont val="Tahoma"/>
            <family val="2"/>
          </rPr>
          <t>Educacion Etica  Y  En Valores Humanos</t>
        </r>
      </text>
    </comment>
    <comment ref="C7" authorId="0" shapeId="0" xr:uid="{A50C0DB5-A448-4F84-AC83-E7F29020A02E}">
      <text>
        <r>
          <rPr>
            <b/>
            <sz val="8"/>
            <color indexed="81"/>
            <rFont val="Tahoma"/>
            <family val="2"/>
          </rPr>
          <t>Educación Artistica Y Cultural</t>
        </r>
      </text>
    </comment>
    <comment ref="C8" authorId="0" shapeId="0" xr:uid="{9E2CDEA7-3018-483B-9267-A22DC839E5E3}">
      <text>
        <r>
          <rPr>
            <b/>
            <sz val="8"/>
            <color indexed="81"/>
            <rFont val="Tahoma"/>
            <family val="2"/>
          </rPr>
          <t>Educación Física, Recreación Y Deportes</t>
        </r>
      </text>
    </comment>
    <comment ref="C9" authorId="0" shapeId="0" xr:uid="{62D2CE6D-B54A-484C-9A79-59ADCDEC0207}">
      <text>
        <r>
          <rPr>
            <b/>
            <sz val="8"/>
            <color indexed="81"/>
            <rFont val="Tahoma"/>
            <family val="2"/>
          </rPr>
          <t>Lengua Castellana</t>
        </r>
      </text>
    </comment>
    <comment ref="C10" authorId="0" shapeId="0" xr:uid="{78F36055-1BAB-46E7-91E6-1A9AE1D50B77}">
      <text>
        <r>
          <rPr>
            <b/>
            <sz val="8"/>
            <color indexed="81"/>
            <rFont val="Tahoma"/>
            <family val="2"/>
          </rPr>
          <t>Idioma Extranjero</t>
        </r>
      </text>
    </comment>
    <comment ref="C11" authorId="0" shapeId="0" xr:uid="{676C3E96-40D4-45A9-8C9B-9714134D8847}">
      <text>
        <r>
          <rPr>
            <b/>
            <sz val="8"/>
            <color indexed="81"/>
            <rFont val="Tahoma"/>
            <family val="2"/>
          </rPr>
          <t>Lectoescritura</t>
        </r>
      </text>
    </comment>
    <comment ref="C12" authorId="0" shapeId="0" xr:uid="{098C2FC3-13C5-44FC-81CB-EF7C5E713F1E}">
      <text>
        <r>
          <rPr>
            <b/>
            <sz val="8"/>
            <color indexed="81"/>
            <rFont val="Tahoma"/>
            <family val="2"/>
          </rPr>
          <t>Estadistica</t>
        </r>
      </text>
    </comment>
    <comment ref="C13" authorId="0" shapeId="0" xr:uid="{B0E1AD61-B3E1-42AE-97C6-F2146238DD2A}">
      <text>
        <r>
          <rPr>
            <b/>
            <sz val="8"/>
            <color indexed="81"/>
            <rFont val="Tahoma"/>
            <family val="2"/>
          </rPr>
          <t>Matematicas.</t>
        </r>
      </text>
    </comment>
    <comment ref="C14" authorId="0" shapeId="0" xr:uid="{C612DC98-1DA5-43FA-AF86-67B2F978D9AB}">
      <text>
        <r>
          <rPr>
            <b/>
            <sz val="8"/>
            <color indexed="81"/>
            <rFont val="Tahoma"/>
            <family val="2"/>
          </rPr>
          <t>Tecnologia</t>
        </r>
      </text>
    </comment>
    <comment ref="C16" authorId="0" shapeId="0" xr:uid="{4CCD2DA2-DAEA-4E13-A2B5-965F846B8626}">
      <text>
        <r>
          <rPr>
            <b/>
            <sz val="8"/>
            <color indexed="81"/>
            <rFont val="Tahoma"/>
            <family val="2"/>
          </rPr>
          <t>Educacion Religiosa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IE ANGELA RESTREPO</author>
  </authors>
  <commentList>
    <comment ref="E2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Ciencias Naturales</t>
        </r>
      </text>
    </comment>
    <comment ref="F2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Ciencias De La Investigacion</t>
        </r>
      </text>
    </comment>
    <comment ref="G2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>Ciencias Sociales (historia, Geografía, Constitución Política Y Democracia.)</t>
        </r>
      </text>
    </comment>
    <comment ref="I2" authorId="0" shapeId="0" xr:uid="{00000000-0006-0000-0100-000004000000}">
      <text>
        <r>
          <rPr>
            <b/>
            <sz val="8"/>
            <color indexed="81"/>
            <rFont val="Tahoma"/>
            <family val="2"/>
          </rPr>
          <t>Educacion Etica  Y  En Valores Humanos</t>
        </r>
      </text>
    </comment>
    <comment ref="J2" authorId="0" shapeId="0" xr:uid="{00000000-0006-0000-0100-000005000000}">
      <text>
        <r>
          <rPr>
            <b/>
            <sz val="8"/>
            <color indexed="81"/>
            <rFont val="Tahoma"/>
            <family val="2"/>
          </rPr>
          <t>Educación Artistica Y Cultural</t>
        </r>
      </text>
    </comment>
    <comment ref="K2" authorId="0" shapeId="0" xr:uid="{00000000-0006-0000-0100-000006000000}">
      <text>
        <r>
          <rPr>
            <b/>
            <sz val="8"/>
            <color indexed="81"/>
            <rFont val="Tahoma"/>
            <family val="2"/>
          </rPr>
          <t>Educación Física, Recreación Y Deportes</t>
        </r>
      </text>
    </comment>
    <comment ref="M2" authorId="0" shapeId="0" xr:uid="{00000000-0006-0000-0100-000007000000}">
      <text>
        <r>
          <rPr>
            <b/>
            <sz val="8"/>
            <color indexed="81"/>
            <rFont val="Tahoma"/>
            <family val="2"/>
          </rPr>
          <t>Lengua Castellana</t>
        </r>
      </text>
    </comment>
    <comment ref="N2" authorId="0" shapeId="0" xr:uid="{00000000-0006-0000-0100-000008000000}">
      <text>
        <r>
          <rPr>
            <b/>
            <sz val="8"/>
            <color indexed="81"/>
            <rFont val="Tahoma"/>
            <family val="2"/>
          </rPr>
          <t>Idioma Extranjero</t>
        </r>
      </text>
    </comment>
    <comment ref="O2" authorId="0" shapeId="0" xr:uid="{00000000-0006-0000-0100-000009000000}">
      <text>
        <r>
          <rPr>
            <b/>
            <sz val="8"/>
            <color indexed="81"/>
            <rFont val="Tahoma"/>
            <family val="2"/>
          </rPr>
          <t>Lectoescritura</t>
        </r>
      </text>
    </comment>
    <comment ref="Q2" authorId="0" shapeId="0" xr:uid="{00000000-0006-0000-0100-00000A000000}">
      <text>
        <r>
          <rPr>
            <b/>
            <sz val="8"/>
            <color indexed="81"/>
            <rFont val="Tahoma"/>
            <family val="2"/>
          </rPr>
          <t>Estadistica</t>
        </r>
      </text>
    </comment>
    <comment ref="R2" authorId="0" shapeId="0" xr:uid="{00000000-0006-0000-0100-00000B000000}">
      <text>
        <r>
          <rPr>
            <b/>
            <sz val="8"/>
            <color indexed="81"/>
            <rFont val="Tahoma"/>
            <family val="2"/>
          </rPr>
          <t>Matematicas.</t>
        </r>
      </text>
    </comment>
    <comment ref="S2" authorId="0" shapeId="0" xr:uid="{00000000-0006-0000-0100-00000C000000}">
      <text>
        <r>
          <rPr>
            <b/>
            <sz val="8"/>
            <color indexed="81"/>
            <rFont val="Tahoma"/>
            <family val="2"/>
          </rPr>
          <t>Emprendimiento</t>
        </r>
      </text>
    </comment>
    <comment ref="T2" authorId="0" shapeId="0" xr:uid="{00000000-0006-0000-0100-00000D000000}">
      <text>
        <r>
          <rPr>
            <b/>
            <sz val="8"/>
            <color indexed="81"/>
            <rFont val="Tahoma"/>
            <family val="2"/>
          </rPr>
          <t>Tecnologia</t>
        </r>
      </text>
    </comment>
    <comment ref="V2" authorId="0" shapeId="0" xr:uid="{00000000-0006-0000-0100-00000E000000}">
      <text>
        <r>
          <rPr>
            <b/>
            <sz val="8"/>
            <color indexed="81"/>
            <rFont val="Tahoma"/>
            <family val="2"/>
          </rPr>
          <t>Educacion Religiosa</t>
        </r>
      </text>
    </comment>
    <comment ref="W29" authorId="0" shapeId="0" xr:uid="{00000000-0006-0000-0100-00000F000000}">
      <text>
        <r>
          <rPr>
            <b/>
            <sz val="8"/>
            <color indexed="81"/>
            <rFont val="Tahoma"/>
            <family val="2"/>
          </rPr>
          <t>Promedio de perdidos por período y materia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IE ANGELA RESTREPO</author>
  </authors>
  <commentList>
    <comment ref="B10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Ciencias Naturales</t>
        </r>
      </text>
    </comment>
    <comment ref="B11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Ciencias De La Investigacion</t>
        </r>
      </text>
    </comment>
    <comment ref="B12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Ciencias Sociales (historia, Geografía, Constitución Política Y Democracia.)</t>
        </r>
      </text>
    </comment>
    <comment ref="B14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Educación Artistica Y Cultural</t>
        </r>
      </text>
    </comment>
    <comment ref="B15" authorId="0" shapeId="0" xr:uid="{00000000-0006-0000-0200-000005000000}">
      <text>
        <r>
          <rPr>
            <b/>
            <sz val="8"/>
            <color indexed="81"/>
            <rFont val="Tahoma"/>
            <family val="2"/>
          </rPr>
          <t>Educacion Etica  Y  En Valores Humanos</t>
        </r>
      </text>
    </comment>
    <comment ref="B16" authorId="0" shapeId="0" xr:uid="{00000000-0006-0000-0200-000006000000}">
      <text>
        <r>
          <rPr>
            <b/>
            <sz val="8"/>
            <color indexed="81"/>
            <rFont val="Tahoma"/>
            <family val="2"/>
          </rPr>
          <t>Educación Física, Recreación Y Deportes</t>
        </r>
      </text>
    </comment>
    <comment ref="B18" authorId="0" shapeId="0" xr:uid="{00000000-0006-0000-0200-000007000000}">
      <text>
        <r>
          <rPr>
            <b/>
            <sz val="8"/>
            <color indexed="81"/>
            <rFont val="Tahoma"/>
            <family val="2"/>
          </rPr>
          <t>Lengua Castellana</t>
        </r>
      </text>
    </comment>
    <comment ref="B19" authorId="0" shapeId="0" xr:uid="{00000000-0006-0000-0200-000008000000}">
      <text>
        <r>
          <rPr>
            <b/>
            <sz val="8"/>
            <color indexed="81"/>
            <rFont val="Tahoma"/>
            <family val="2"/>
          </rPr>
          <t>Idioma Extranjero</t>
        </r>
      </text>
    </comment>
    <comment ref="B20" authorId="0" shapeId="0" xr:uid="{00000000-0006-0000-0200-000009000000}">
      <text>
        <r>
          <rPr>
            <b/>
            <sz val="8"/>
            <color indexed="81"/>
            <rFont val="Tahoma"/>
            <family val="2"/>
          </rPr>
          <t>Lectoescritura</t>
        </r>
      </text>
    </comment>
    <comment ref="B21" authorId="0" shapeId="0" xr:uid="{00000000-0006-0000-0200-00000A000000}">
      <text>
        <r>
          <rPr>
            <b/>
            <sz val="8"/>
            <color indexed="81"/>
            <rFont val="Tahoma"/>
            <family val="2"/>
          </rPr>
          <t>Estadistica</t>
        </r>
      </text>
    </comment>
    <comment ref="B22" authorId="0" shapeId="0" xr:uid="{00000000-0006-0000-0200-00000B000000}">
      <text>
        <r>
          <rPr>
            <b/>
            <sz val="8"/>
            <color indexed="81"/>
            <rFont val="Tahoma"/>
            <family val="2"/>
          </rPr>
          <t>Matematicas.</t>
        </r>
      </text>
    </comment>
    <comment ref="B23" authorId="0" shapeId="0" xr:uid="{00000000-0006-0000-0200-00000C000000}">
      <text>
        <r>
          <rPr>
            <b/>
            <sz val="8"/>
            <color indexed="81"/>
            <rFont val="Tahoma"/>
            <family val="2"/>
          </rPr>
          <t>Geometria</t>
        </r>
      </text>
    </comment>
    <comment ref="B24" authorId="0" shapeId="0" xr:uid="{00000000-0006-0000-0200-00000D000000}">
      <text>
        <r>
          <rPr>
            <b/>
            <sz val="8"/>
            <color indexed="81"/>
            <rFont val="Tahoma"/>
            <family val="2"/>
          </rPr>
          <t>Emprendimiento</t>
        </r>
      </text>
    </comment>
    <comment ref="B25" authorId="0" shapeId="0" xr:uid="{00000000-0006-0000-0200-00000E000000}">
      <text>
        <r>
          <rPr>
            <b/>
            <sz val="8"/>
            <color indexed="81"/>
            <rFont val="Tahoma"/>
            <family val="2"/>
          </rPr>
          <t>Tecnologia</t>
        </r>
      </text>
    </comment>
    <comment ref="B27" authorId="0" shapeId="0" xr:uid="{00000000-0006-0000-0200-00000F000000}">
      <text>
        <r>
          <rPr>
            <b/>
            <sz val="8"/>
            <color indexed="81"/>
            <rFont val="Tahoma"/>
            <family val="2"/>
          </rPr>
          <t>Educacion Religiosa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IE ANGELA RESTREPO</author>
  </authors>
  <commentList>
    <comment ref="E3" authorId="0" shapeId="0" xr:uid="{00000000-0006-0000-0400-000001000000}">
      <text>
        <r>
          <rPr>
            <b/>
            <sz val="8"/>
            <color indexed="81"/>
            <rFont val="Tahoma"/>
            <family val="2"/>
          </rPr>
          <t>Ciencias Sociales (historia, Geografía, Constitución Política Y Democracia.)</t>
        </r>
      </text>
    </comment>
    <comment ref="F3" authorId="0" shapeId="0" xr:uid="{00000000-0006-0000-0400-000002000000}">
      <text>
        <r>
          <rPr>
            <b/>
            <sz val="8"/>
            <color indexed="81"/>
            <rFont val="Tahoma"/>
            <family val="2"/>
          </rPr>
          <t>Educación Artistica Y Cultural</t>
        </r>
      </text>
    </comment>
    <comment ref="G3" authorId="0" shapeId="0" xr:uid="{00000000-0006-0000-0400-000003000000}">
      <text>
        <r>
          <rPr>
            <b/>
            <sz val="8"/>
            <color indexed="81"/>
            <rFont val="Tahoma"/>
            <family val="2"/>
          </rPr>
          <t>Educacion Etica  Y  En Valores Humanos</t>
        </r>
      </text>
    </comment>
    <comment ref="H3" authorId="0" shapeId="0" xr:uid="{00000000-0006-0000-0400-000004000000}">
      <text>
        <r>
          <rPr>
            <b/>
            <sz val="8"/>
            <color indexed="81"/>
            <rFont val="Tahoma"/>
            <family val="2"/>
          </rPr>
          <t>Educación Física, Recreación Y Deportes</t>
        </r>
      </text>
    </comment>
    <comment ref="I3" authorId="0" shapeId="0" xr:uid="{00000000-0006-0000-0400-000005000000}">
      <text>
        <r>
          <rPr>
            <b/>
            <sz val="8"/>
            <color indexed="81"/>
            <rFont val="Tahoma"/>
            <family val="2"/>
          </rPr>
          <t>Educacion Religiosa</t>
        </r>
      </text>
    </comment>
    <comment ref="L3" authorId="0" shapeId="0" xr:uid="{00000000-0006-0000-0400-000006000000}">
      <text>
        <r>
          <rPr>
            <b/>
            <sz val="8"/>
            <color indexed="81"/>
            <rFont val="Tahoma"/>
            <family val="2"/>
          </rPr>
          <t>Emprendimiento</t>
        </r>
      </text>
    </comment>
    <comment ref="M41" authorId="0" shapeId="0" xr:uid="{00000000-0006-0000-0400-000007000000}">
      <text>
        <r>
          <rPr>
            <b/>
            <sz val="8"/>
            <color indexed="81"/>
            <rFont val="Tahoma"/>
            <family val="2"/>
          </rPr>
          <t>Promedio de perdidos por período y materia</t>
        </r>
      </text>
    </comment>
    <comment ref="M42" authorId="0" shapeId="0" xr:uid="{00000000-0006-0000-0400-000008000000}">
      <text>
        <r>
          <rPr>
            <b/>
            <sz val="8"/>
            <color indexed="81"/>
            <rFont val="Tahoma"/>
            <family val="2"/>
          </rPr>
          <t>Promedio de perdidos por período y materia en porcentaje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IE ANGELA RESTREPO</author>
  </authors>
  <commentList>
    <comment ref="F3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Ciencias Sociales (historia, Geografía, Constitución Política Y Democracia.)</t>
        </r>
      </text>
    </comment>
    <comment ref="G3" authorId="0" shapeId="0" xr:uid="{00000000-0006-0000-0500-000002000000}">
      <text>
        <r>
          <rPr>
            <b/>
            <sz val="8"/>
            <color indexed="81"/>
            <rFont val="Tahoma"/>
            <family val="2"/>
          </rPr>
          <t>Educación Artistica Y Cultural</t>
        </r>
      </text>
    </comment>
    <comment ref="H3" authorId="0" shapeId="0" xr:uid="{00000000-0006-0000-0500-000004000000}">
      <text>
        <r>
          <rPr>
            <b/>
            <sz val="8"/>
            <color indexed="81"/>
            <rFont val="Tahoma"/>
            <family val="2"/>
          </rPr>
          <t>Educación Física, Recreación Y Deportes</t>
        </r>
      </text>
    </comment>
    <comment ref="I3" authorId="0" shapeId="0" xr:uid="{00000000-0006-0000-0500-000005000000}">
      <text>
        <r>
          <rPr>
            <b/>
            <sz val="8"/>
            <color indexed="81"/>
            <rFont val="Tahoma"/>
            <family val="2"/>
          </rPr>
          <t>Educacion Religiosa</t>
        </r>
      </text>
    </comment>
    <comment ref="L3" authorId="0" shapeId="0" xr:uid="{00000000-0006-0000-0500-000006000000}">
      <text>
        <r>
          <rPr>
            <b/>
            <sz val="8"/>
            <color indexed="81"/>
            <rFont val="Tahoma"/>
            <family val="2"/>
          </rPr>
          <t>Emprendimiento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IE ANGELA RESTREPO</author>
  </authors>
  <commentList>
    <comment ref="B2" authorId="0" shapeId="0" xr:uid="{610F71A3-065C-4D68-8B59-29D55E40DD04}">
      <text>
        <r>
          <rPr>
            <b/>
            <sz val="8"/>
            <color indexed="81"/>
            <rFont val="Tahoma"/>
            <family val="2"/>
          </rPr>
          <t>Ciencias Naturales</t>
        </r>
      </text>
    </comment>
    <comment ref="B3" authorId="0" shapeId="0" xr:uid="{A9505DD3-DC4A-46EC-8C18-86CEE926F54B}">
      <text>
        <r>
          <rPr>
            <b/>
            <sz val="8"/>
            <color indexed="81"/>
            <rFont val="Tahoma"/>
            <family val="2"/>
          </rPr>
          <t>Ciencias De La Investigacion</t>
        </r>
      </text>
    </comment>
    <comment ref="B5" authorId="0" shapeId="0" xr:uid="{A2EB2C24-F8E1-4CD1-B72D-82878A91F116}">
      <text>
        <r>
          <rPr>
            <b/>
            <sz val="8"/>
            <color indexed="81"/>
            <rFont val="Tahoma"/>
            <family val="2"/>
          </rPr>
          <t>Educacion Etica  Y  En Valores Humanos</t>
        </r>
      </text>
    </comment>
    <comment ref="B6" authorId="0" shapeId="0" xr:uid="{1B001835-8F37-4B14-A5F6-CA0332371C38}">
      <text>
        <r>
          <rPr>
            <b/>
            <sz val="8"/>
            <color indexed="81"/>
            <rFont val="Tahoma"/>
            <family val="2"/>
          </rPr>
          <t>Educación Artistica Y Cultural</t>
        </r>
      </text>
    </comment>
    <comment ref="B7" authorId="0" shapeId="0" xr:uid="{A783454E-9847-4E9B-BA62-C0C331A03602}">
      <text>
        <r>
          <rPr>
            <b/>
            <sz val="8"/>
            <color indexed="81"/>
            <rFont val="Tahoma"/>
            <family val="2"/>
          </rPr>
          <t>Educación Física, Recreación Y Deportes</t>
        </r>
      </text>
    </comment>
    <comment ref="B8" authorId="0" shapeId="0" xr:uid="{F28E26CE-B193-42D2-80C3-8B4CF9D2AA7A}">
      <text>
        <r>
          <rPr>
            <b/>
            <sz val="8"/>
            <color indexed="81"/>
            <rFont val="Tahoma"/>
            <family val="2"/>
          </rPr>
          <t>Lengua Castellana</t>
        </r>
      </text>
    </comment>
    <comment ref="B9" authorId="0" shapeId="0" xr:uid="{8B3F32E2-F2B4-40ED-8D3E-C25E545A834F}">
      <text>
        <r>
          <rPr>
            <b/>
            <sz val="8"/>
            <color indexed="81"/>
            <rFont val="Tahoma"/>
            <family val="2"/>
          </rPr>
          <t>Idioma Extranjero</t>
        </r>
      </text>
    </comment>
    <comment ref="B10" authorId="0" shapeId="0" xr:uid="{0EA56034-5B14-48BF-8E3E-FF64B3C64F60}">
      <text>
        <r>
          <rPr>
            <b/>
            <sz val="8"/>
            <color indexed="81"/>
            <rFont val="Tahoma"/>
            <family val="2"/>
          </rPr>
          <t>Lectoescritura</t>
        </r>
      </text>
    </comment>
    <comment ref="B11" authorId="0" shapeId="0" xr:uid="{0820F8BD-7107-41C5-A394-46A5DB1AF85B}">
      <text>
        <r>
          <rPr>
            <b/>
            <sz val="8"/>
            <color indexed="81"/>
            <rFont val="Tahoma"/>
            <family val="2"/>
          </rPr>
          <t>Estadistica</t>
        </r>
      </text>
    </comment>
    <comment ref="B12" authorId="0" shapeId="0" xr:uid="{0866D1FE-6B8F-430D-B914-40EA50DFAB98}">
      <text>
        <r>
          <rPr>
            <b/>
            <sz val="8"/>
            <color indexed="81"/>
            <rFont val="Tahoma"/>
            <family val="2"/>
          </rPr>
          <t>Matematicas.</t>
        </r>
      </text>
    </comment>
    <comment ref="B13" authorId="0" shapeId="0" xr:uid="{E6454181-78EC-4BBC-8697-9A0CCD54FFA7}">
      <text>
        <r>
          <rPr>
            <b/>
            <sz val="8"/>
            <color indexed="81"/>
            <rFont val="Tahoma"/>
            <family val="2"/>
          </rPr>
          <t>Tecnologia</t>
        </r>
      </text>
    </comment>
    <comment ref="B15" authorId="0" shapeId="0" xr:uid="{E7400910-545A-471F-8D94-6149487D9BF6}">
      <text>
        <r>
          <rPr>
            <b/>
            <sz val="8"/>
            <color indexed="81"/>
            <rFont val="Tahoma"/>
            <family val="2"/>
          </rPr>
          <t>Educacion Religiosa</t>
        </r>
      </text>
    </comment>
  </commentList>
</comments>
</file>

<file path=xl/sharedStrings.xml><?xml version="1.0" encoding="utf-8"?>
<sst xmlns="http://schemas.openxmlformats.org/spreadsheetml/2006/main" count="986" uniqueCount="294">
  <si>
    <t>cantidad de materias</t>
  </si>
  <si>
    <t># de estudiantes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</si>
  <si>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</si>
  <si>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</si>
  <si>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</si>
  <si>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</si>
  <si>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</si>
  <si>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</si>
  <si>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</si>
  <si>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</si>
  <si>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</si>
  <si>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</si>
  <si>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</si>
  <si>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</si>
  <si>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</si>
  <si>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</si>
  <si>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</si>
  <si>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</si>
  <si>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</si>
  <si>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</si>
  <si>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</si>
  <si>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</si>
  <si>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Obbservación</t>
  </si>
  <si>
    <t>%</t>
  </si>
  <si>
    <t>Aprobando</t>
  </si>
  <si>
    <t>Reprobando</t>
  </si>
  <si>
    <t>Total Estudiantes</t>
  </si>
  <si>
    <t>Grupo:</t>
  </si>
  <si>
    <t>8º-01</t>
  </si>
  <si>
    <t>No Aprobados</t>
  </si>
  <si>
    <t>Nro</t>
  </si>
  <si>
    <t>Matric</t>
  </si>
  <si>
    <t>Nombres Y Apellidos</t>
  </si>
  <si>
    <t>Area de Ciencias</t>
  </si>
  <si>
    <t>Ciencias Naturales</t>
  </si>
  <si>
    <t>Ciencias De La Investigacion</t>
  </si>
  <si>
    <t>Ciencias Sociales (historia, Geografía, Constitución Política Y Democracia.)</t>
  </si>
  <si>
    <t>Sociales</t>
  </si>
  <si>
    <t>Historia de Colombia</t>
  </si>
  <si>
    <t>Educación Artistica Y Cultural</t>
  </si>
  <si>
    <t>Educación Física, Recreación Y Deportes</t>
  </si>
  <si>
    <t>Area Humanidades</t>
  </si>
  <si>
    <t>Lengua Castellana</t>
  </si>
  <si>
    <t>Idioma Extranjero</t>
  </si>
  <si>
    <t>Lectoescritura</t>
  </si>
  <si>
    <t>Area de Matematicas</t>
  </si>
  <si>
    <t>Estadistica</t>
  </si>
  <si>
    <t>Matematicas.</t>
  </si>
  <si>
    <t>Tecnologia e Informatica</t>
  </si>
  <si>
    <t>Informatica</t>
  </si>
  <si>
    <t>Tecnologia</t>
  </si>
  <si>
    <t>Educacion Religiosa Y Etica</t>
  </si>
  <si>
    <t>COMPUESTAS</t>
  </si>
  <si>
    <t>SIMPLES</t>
  </si>
  <si>
    <t>OBSERVACION</t>
  </si>
  <si>
    <t>Materias</t>
  </si>
  <si>
    <t>Areas</t>
  </si>
  <si>
    <t>ACEVEDO JUAN ESTEBAN</t>
  </si>
  <si>
    <t>X</t>
  </si>
  <si>
    <t>Acevedo Marin Maria Alejandra</t>
  </si>
  <si>
    <t># Areas</t>
  </si>
  <si>
    <t>Cantidad Estudiantes</t>
  </si>
  <si>
    <t>Aguilera Navs  Luis Carlos Enrique</t>
  </si>
  <si>
    <t># de Areas</t>
  </si>
  <si>
    <t>Areas Reprobadas</t>
  </si>
  <si>
    <t>Altamar Matos Yexibel Zair</t>
  </si>
  <si>
    <t xml:space="preserve">Atencio Avila Neiro Luis </t>
  </si>
  <si>
    <t>Ayala Florez Margarita María</t>
  </si>
  <si>
    <t>Betancur Guitierrez Ximena</t>
  </si>
  <si>
    <t>BlandonTapias  Emmanuel</t>
  </si>
  <si>
    <t>Busto Semeco Valeria de los Angeles</t>
  </si>
  <si>
    <t>Caldera Rivas Bryan Alejandro</t>
  </si>
  <si>
    <t>Cardona Arango Matias</t>
  </si>
  <si>
    <t>Carmona Torres Simón</t>
  </si>
  <si>
    <t>Castaño Arboleda Isabella</t>
  </si>
  <si>
    <t>CASTELLANOS BLANCO GUADALUPE</t>
  </si>
  <si>
    <t>Chaparro Zarza Danna Fernanda</t>
  </si>
  <si>
    <t>Florez Alvarez Manuela</t>
  </si>
  <si>
    <t>Florez Gomez Santiago</t>
  </si>
  <si>
    <t>FRANCO SANCHEZ ALEJANDRA</t>
  </si>
  <si>
    <t>x</t>
  </si>
  <si>
    <t>GALLEGO RUIZ SAMUEL</t>
  </si>
  <si>
    <t xml:space="preserve">García F Miguel </t>
  </si>
  <si>
    <t>Garcia Velez Michell</t>
  </si>
  <si>
    <t>Gomez Osorio Jeifer Santiago</t>
  </si>
  <si>
    <t>Guzman Guisao Manuela</t>
  </si>
  <si>
    <t>Guzman Henao Maria jose</t>
  </si>
  <si>
    <t>Mejia Holguin Geraldin</t>
  </si>
  <si>
    <t>Mosquera Muñoz Luis Angel</t>
  </si>
  <si>
    <t>Ospina Muñoz Maria jose</t>
  </si>
  <si>
    <t>Perez  Sanchez Maria Fernanda</t>
  </si>
  <si>
    <t>Perez Loaiza Matias</t>
  </si>
  <si>
    <t>Rodriguez Florez Paula Andrea</t>
  </si>
  <si>
    <t>Rojo Echeverri Juliana</t>
  </si>
  <si>
    <t>Ruiz Ospina Carolina</t>
  </si>
  <si>
    <t>Ruiz Vera Sara Marian</t>
  </si>
  <si>
    <t>Tamayo Amariles Mateo</t>
  </si>
  <si>
    <t>VASQUEZ ALCANTARÁ EOSIBEL VICTORIA</t>
  </si>
  <si>
    <t>ZAPATA CORTES MIGUEL ANGEL</t>
  </si>
  <si>
    <t>Fa</t>
  </si>
  <si>
    <t>Fr</t>
  </si>
  <si>
    <t>Pasan directos a Octavo</t>
  </si>
  <si>
    <t>Quedan con logros pendientes</t>
  </si>
  <si>
    <t>Tu año esta en riesgo de perderse</t>
  </si>
  <si>
    <t>Total estudiantes</t>
  </si>
  <si>
    <t>MATERIAS</t>
  </si>
  <si>
    <t># DE ESTUDIANTES</t>
  </si>
  <si>
    <t>NOMBRES</t>
  </si>
  <si>
    <t>MATERIAS CON LOGROS PENDIETES</t>
  </si>
  <si>
    <t>AYALA FLOREZ MARGARITA MARÍA</t>
  </si>
  <si>
    <t>CALDERA RIVAS BRAYAN ALEJANDRO</t>
  </si>
  <si>
    <t>CARDONA ARANGO MATÍAS</t>
  </si>
  <si>
    <t>FLOREZ GOMEZ SANTIAGO</t>
  </si>
  <si>
    <t>MEJIA HOLGUIN GERALDIN</t>
  </si>
  <si>
    <t>RUIZ OSPINA CAROLINA</t>
  </si>
  <si>
    <r>
      <rPr>
        <sz val="8"/>
        <color rgb="FF000000"/>
        <rFont val="Arial"/>
      </rPr>
      <t xml:space="preserve">ALANDETE CORREA MARIANGEL </t>
    </r>
  </si>
  <si>
    <t xml:space="preserve"> </t>
  </si>
  <si>
    <r>
      <rPr>
        <sz val="8"/>
        <color rgb="FF000000"/>
        <rFont val="Arial"/>
      </rPr>
      <t>ALEAN LENIS SALOME FERNANDA</t>
    </r>
  </si>
  <si>
    <t xml:space="preserve">ALMANZA SANCHEZ NICOLAS </t>
  </si>
  <si>
    <t>Item</t>
  </si>
  <si>
    <t>Cantidad</t>
  </si>
  <si>
    <r>
      <rPr>
        <sz val="8"/>
        <color rgb="FF000000"/>
        <rFont val="Arial"/>
      </rPr>
      <t>AMAYA PEREZ LEANNY ANTHONELLA</t>
    </r>
  </si>
  <si>
    <t>No tienen logros pendiente</t>
  </si>
  <si>
    <t>Tienen logros pendientes</t>
  </si>
  <si>
    <t>TOTAL</t>
  </si>
  <si>
    <r>
      <rPr>
        <sz val="8"/>
        <color rgb="FF000000"/>
        <rFont val="Arial"/>
      </rPr>
      <t>CONTRERAS MENDEZ DAILY GABRIELA</t>
    </r>
  </si>
  <si>
    <t xml:space="preserve">DUQUE JARAMILLO EMANUEL </t>
  </si>
  <si>
    <r>
      <rPr>
        <sz val="8"/>
        <color rgb="FF000000"/>
        <rFont val="Arial"/>
      </rPr>
      <t xml:space="preserve">JARAMILLO CARDONA SALOME </t>
    </r>
  </si>
  <si>
    <t xml:space="preserve">JIMENEZ BEDOYA VALERY </t>
  </si>
  <si>
    <t>JIMENEZ TORRES YUSNEILY FERNANDA</t>
  </si>
  <si>
    <r>
      <rPr>
        <sz val="8"/>
        <color rgb="FF000000"/>
        <rFont val="Arial"/>
      </rPr>
      <t>MONTES ARBOLEDA VALERY SOFIA</t>
    </r>
  </si>
  <si>
    <t xml:space="preserve">MOSQUERA MUÑOZ LUCIANA </t>
  </si>
  <si>
    <r>
      <rPr>
        <sz val="8"/>
        <color rgb="FF000000"/>
        <rFont val="Arial"/>
      </rPr>
      <t xml:space="preserve">ORTIZ LOAIZA ASHLY </t>
    </r>
  </si>
  <si>
    <r>
      <rPr>
        <sz val="8"/>
        <color rgb="FF000000"/>
        <rFont val="Arial"/>
      </rPr>
      <t>OSORNO MONTES ALBEIRO ANTONIO</t>
    </r>
  </si>
  <si>
    <t>PAZ MANSILLA ELIANNY YOLIMAR</t>
  </si>
  <si>
    <r>
      <rPr>
        <sz val="8"/>
        <color rgb="FF000000"/>
        <rFont val="Arial"/>
      </rPr>
      <t xml:space="preserve">QUICENO MUÑOZ SALOME </t>
    </r>
  </si>
  <si>
    <r>
      <rPr>
        <sz val="8"/>
        <color rgb="FF000000"/>
        <rFont val="Arial"/>
      </rPr>
      <t>RENDON MADERA JUAN JOSE</t>
    </r>
  </si>
  <si>
    <r>
      <rPr>
        <sz val="8"/>
        <color rgb="FF000000"/>
        <rFont val="Arial"/>
      </rPr>
      <t>RIVERA RIVERA ANGEL DAVID</t>
    </r>
  </si>
  <si>
    <t>SANCHEZ PACHECO ANA ISABELLA</t>
  </si>
  <si>
    <r>
      <rPr>
        <sz val="8"/>
        <color rgb="FF000000"/>
        <rFont val="Arial"/>
      </rPr>
      <t>TABORDA SEPULVEDA JUAN DAVID</t>
    </r>
  </si>
  <si>
    <r>
      <rPr>
        <sz val="8"/>
        <color rgb="FF000000"/>
        <rFont val="Arial"/>
      </rPr>
      <t xml:space="preserve">TABORDA TABORDA VALENTINA </t>
    </r>
  </si>
  <si>
    <t>VARGAS ORTIZ MARIA ISABEL</t>
  </si>
  <si>
    <t>ZAPATA GALLEGO MARIA CAMILA</t>
  </si>
  <si>
    <r>
      <rPr>
        <sz val="8"/>
        <color rgb="FF000000"/>
        <rFont val="Arial"/>
      </rPr>
      <t xml:space="preserve">ZAPATA HENAO SOFIA </t>
    </r>
  </si>
  <si>
    <t>Grado 8º-01</t>
  </si>
  <si>
    <t>INSTITUCION EDUCATIVA ANGELA RESTREPO MORENO</t>
  </si>
  <si>
    <t>Codigo:</t>
  </si>
  <si>
    <t>Estudiante:</t>
  </si>
  <si>
    <t>MATERIA</t>
  </si>
  <si>
    <t>NOTAS</t>
  </si>
  <si>
    <t>Historia Colombia</t>
  </si>
  <si>
    <t>Area de Humanidades</t>
  </si>
  <si>
    <t>Area de Metemáticas</t>
  </si>
  <si>
    <t>Marematicas</t>
  </si>
  <si>
    <t>Area de Tecnología e Informatica</t>
  </si>
  <si>
    <t>Materias que van perdiendo hasta el momento</t>
  </si>
  <si>
    <t>Calificación</t>
  </si>
  <si>
    <t>Superior</t>
  </si>
  <si>
    <t>Alta</t>
  </si>
  <si>
    <t>Basico</t>
  </si>
  <si>
    <t>Bajo</t>
  </si>
  <si>
    <t>6º-05</t>
  </si>
  <si>
    <t>Director:</t>
  </si>
  <si>
    <t>Ospina Moreno Javier</t>
  </si>
  <si>
    <t>Educacion Etica  Y  En Valores Humanos</t>
  </si>
  <si>
    <t>Educacion Religiosa</t>
  </si>
  <si>
    <t>100009</t>
  </si>
  <si>
    <t xml:space="preserve">AGUDELO HERNANDEZ PAULINA </t>
  </si>
  <si>
    <t>140201</t>
  </si>
  <si>
    <t xml:space="preserve">ARANGO MADRID  ANDERSON  </t>
  </si>
  <si>
    <t>140035</t>
  </si>
  <si>
    <t xml:space="preserve">BEDOYA PEREZ MARIA  ESTEFANIA </t>
  </si>
  <si>
    <t>080095</t>
  </si>
  <si>
    <t>BENITEZ GALLO YHOJAN ESLY</t>
  </si>
  <si>
    <t>140210</t>
  </si>
  <si>
    <t xml:space="preserve">BERRIO  PEREZ VANESA </t>
  </si>
  <si>
    <t>120301</t>
  </si>
  <si>
    <t>BLANDON RAMIREZ JUAN JOSE</t>
  </si>
  <si>
    <t>160105</t>
  </si>
  <si>
    <t>CAICEDO  QUINTERO KAREN DAYANA</t>
  </si>
  <si>
    <t>090171</t>
  </si>
  <si>
    <t xml:space="preserve">CASTAÑO GARRO VALENTIN </t>
  </si>
  <si>
    <t>160079</t>
  </si>
  <si>
    <t>CASTAÑO  HERRERA MICHELLE DAYANA</t>
  </si>
  <si>
    <t>150164</t>
  </si>
  <si>
    <t xml:space="preserve">CHAVERRA MARULANDA YOJAN </t>
  </si>
  <si>
    <t>160238</t>
  </si>
  <si>
    <t xml:space="preserve">ECHAVARRIA AGUDELO ESTEFANIA </t>
  </si>
  <si>
    <t>120385</t>
  </si>
  <si>
    <t xml:space="preserve">ESPINOSA QUIRAMA MANUELA </t>
  </si>
  <si>
    <t>110174</t>
  </si>
  <si>
    <t>GARCIA BUITRAGO KEVIN ANDRES</t>
  </si>
  <si>
    <t>140234</t>
  </si>
  <si>
    <t>GIL  AGUIRRE YANCELLY FERNANDA</t>
  </si>
  <si>
    <t>120478</t>
  </si>
  <si>
    <t xml:space="preserve">GONZALEZ GAVIRIA VALENTINA </t>
  </si>
  <si>
    <t>150692</t>
  </si>
  <si>
    <t>GONZALEZ MARIN NATALIA ANDREA</t>
  </si>
  <si>
    <t>150248</t>
  </si>
  <si>
    <t xml:space="preserve">GUTIERREZ CASTAÑO YEFERSON </t>
  </si>
  <si>
    <t>140060</t>
  </si>
  <si>
    <t xml:space="preserve">HOYOS  MUÑOZ  SARA  MICHELLE </t>
  </si>
  <si>
    <t>130508</t>
  </si>
  <si>
    <t xml:space="preserve">MENESES HERRERA JUNIOR </t>
  </si>
  <si>
    <t>120375</t>
  </si>
  <si>
    <t xml:space="preserve">MUÑOZ JARAMILLO DARNELLY </t>
  </si>
  <si>
    <t>160215</t>
  </si>
  <si>
    <t xml:space="preserve">MUÑOZ ZAPATA CAROLINA </t>
  </si>
  <si>
    <t>150093</t>
  </si>
  <si>
    <t>MURILLO GRACIANO CARLOS DANIEL</t>
  </si>
  <si>
    <t>150092</t>
  </si>
  <si>
    <t xml:space="preserve">MURILLO  GRACIANO VALENTINA </t>
  </si>
  <si>
    <t>140290</t>
  </si>
  <si>
    <t xml:space="preserve">MURILLO HERNANDEZ FERNEY </t>
  </si>
  <si>
    <t>140028</t>
  </si>
  <si>
    <t>PARRA SANTAMARIA JUAN  ALEJANDRO</t>
  </si>
  <si>
    <t>090636</t>
  </si>
  <si>
    <t>PULGARIN AGUIRRE BENJHE ALEJANDRO</t>
  </si>
  <si>
    <t>080635</t>
  </si>
  <si>
    <t>QUIROZ ZAPATA DARWIN STIWAR</t>
  </si>
  <si>
    <t>140066</t>
  </si>
  <si>
    <t xml:space="preserve">RESTREPO GARCIA  LUISA  FERNANDA </t>
  </si>
  <si>
    <t>160144</t>
  </si>
  <si>
    <t>ROJAS FONTALVO ANGELA ELIZABETH</t>
  </si>
  <si>
    <t>140052</t>
  </si>
  <si>
    <t>ROJAS LONDOÑO KEVIN  ALEJANDRO</t>
  </si>
  <si>
    <t>130257</t>
  </si>
  <si>
    <t>SERNA BUILES DANIEL SEBASTIAN</t>
  </si>
  <si>
    <t>090792</t>
  </si>
  <si>
    <t>SUAREZ VILLARREAL LAUREN TATIANA</t>
  </si>
  <si>
    <t>120388</t>
  </si>
  <si>
    <t xml:space="preserve">TABARES OSPINA YOSSELIN </t>
  </si>
  <si>
    <t>160043</t>
  </si>
  <si>
    <t xml:space="preserve">TUBERQUIA  AYALA  CRISTIAN  ESTIVEN </t>
  </si>
  <si>
    <t>160049</t>
  </si>
  <si>
    <t xml:space="preserve">VANEGAS  VERGARA SOFIA </t>
  </si>
  <si>
    <t>170100</t>
  </si>
  <si>
    <t>170086</t>
  </si>
  <si>
    <t>080057</t>
  </si>
  <si>
    <r>
      <rPr>
        <sz val="8"/>
        <color rgb="FF000000"/>
        <rFont val="Arial"/>
      </rPr>
      <t xml:space="preserve">ALMANZA SANCHEZ NICOLAS </t>
    </r>
  </si>
  <si>
    <t>090076</t>
  </si>
  <si>
    <t>100050</t>
  </si>
  <si>
    <r>
      <rPr>
        <sz val="8"/>
        <color rgb="FF000000"/>
        <rFont val="Arial"/>
      </rPr>
      <t xml:space="preserve">ARCIA MARTINEZ STEFANNY </t>
    </r>
  </si>
  <si>
    <t>150244</t>
  </si>
  <si>
    <r>
      <rPr>
        <sz val="8"/>
        <color rgb="FF000000"/>
        <rFont val="Arial"/>
      </rPr>
      <t>ARISTIZABAL BLANDON LAURA VALENTINA</t>
    </r>
  </si>
  <si>
    <t>150057</t>
  </si>
  <si>
    <r>
      <rPr>
        <sz val="8"/>
        <color rgb="FF000000"/>
        <rFont val="Arial"/>
      </rPr>
      <t xml:space="preserve">CARDENAS RAMIREZ LUCIANA </t>
    </r>
  </si>
  <si>
    <t>170214</t>
  </si>
  <si>
    <t>170285</t>
  </si>
  <si>
    <t>170102</t>
  </si>
  <si>
    <r>
      <rPr>
        <sz val="8"/>
        <color rgb="FF000000"/>
        <rFont val="Arial"/>
      </rPr>
      <t xml:space="preserve">JIMENEZ BEDOYA VALERY </t>
    </r>
  </si>
  <si>
    <t>100125</t>
  </si>
  <si>
    <r>
      <rPr>
        <sz val="8"/>
        <color rgb="FF000000"/>
        <rFont val="Arial"/>
      </rPr>
      <t xml:space="preserve">JIMENEZ TORRES YUSNEILY </t>
    </r>
  </si>
  <si>
    <t>150688</t>
  </si>
  <si>
    <t>140392</t>
  </si>
  <si>
    <r>
      <rPr>
        <sz val="8"/>
        <color rgb="FF000000"/>
        <rFont val="Arial"/>
      </rPr>
      <t xml:space="preserve">MOSQUERA MUÑOZ LUCIANA </t>
    </r>
  </si>
  <si>
    <t>140359</t>
  </si>
  <si>
    <t>100171</t>
  </si>
  <si>
    <t>120228</t>
  </si>
  <si>
    <r>
      <rPr>
        <sz val="8"/>
        <color rgb="FF000000"/>
        <rFont val="Arial"/>
      </rPr>
      <t>PAZ MANSILLA ELIANNY YOLIMAR</t>
    </r>
  </si>
  <si>
    <t>090363</t>
  </si>
  <si>
    <t>170228</t>
  </si>
  <si>
    <t>130388</t>
  </si>
  <si>
    <t>140335</t>
  </si>
  <si>
    <t>140336</t>
  </si>
  <si>
    <t>130284</t>
  </si>
  <si>
    <r>
      <rPr>
        <sz val="8"/>
        <color rgb="FF000000"/>
        <rFont val="Arial"/>
      </rPr>
      <t>VARGAS ORTIZ MARIA ISABEL</t>
    </r>
  </si>
  <si>
    <t>170097</t>
  </si>
  <si>
    <r>
      <rPr>
        <sz val="8"/>
        <color rgb="FF000000"/>
        <rFont val="Arial"/>
      </rPr>
      <t xml:space="preserve">VELEZ CARDONA ISABELLA </t>
    </r>
  </si>
  <si>
    <t>170259</t>
  </si>
  <si>
    <r>
      <rPr>
        <sz val="8"/>
        <color rgb="FF000000"/>
        <rFont val="Arial"/>
      </rPr>
      <t>ZAPATA GALLEGO MARIA CAMILA</t>
    </r>
  </si>
  <si>
    <t>120453</t>
  </si>
  <si>
    <t># Estudiantes</t>
  </si>
  <si>
    <t>Cero areas</t>
  </si>
  <si>
    <t>una o más</t>
  </si>
  <si>
    <t xml:space="preserve">ALANDETE  CORREA  MARIANGEL  </t>
  </si>
  <si>
    <t>ALEAN LENIS SALOME FERNANDA</t>
  </si>
  <si>
    <t>AMAYA  PEREZ LEANNY ANTHONELLA</t>
  </si>
  <si>
    <t>ARISTIZABAL BLANDON  LAURA  BALENTINA</t>
  </si>
  <si>
    <t>CANO SALAZAR  JUAN  MANUEL</t>
  </si>
  <si>
    <t>CONTRERAS  MENDEZ DAILY GABRIELA</t>
  </si>
  <si>
    <t>FLOREZ  USMA MARIA SALOME</t>
  </si>
  <si>
    <t>GARCIA VALLEJO JHORDIN SEBASTIAN</t>
  </si>
  <si>
    <t>MONTES ARBOLEDA VALERY SOFIA</t>
  </si>
  <si>
    <t xml:space="preserve">ORTIZ LOAIZA ASHLY </t>
  </si>
  <si>
    <t>OSORNO  MONTES ALBEIRO ANTONIO</t>
  </si>
  <si>
    <t xml:space="preserve">QUICENO MUÑOZ SALOME </t>
  </si>
  <si>
    <t>RENDON MADERA JUAN JOSE</t>
  </si>
  <si>
    <t>RIVERA RIVERA ANGEL DAVID</t>
  </si>
  <si>
    <t>TABORDA SEPULVEDA JUAN DAVID</t>
  </si>
  <si>
    <t xml:space="preserve">TABORDA TABORDA VALENTINA </t>
  </si>
  <si>
    <t xml:space="preserve">VELEZ  CARDONA ISABELLA </t>
  </si>
  <si>
    <t xml:space="preserve">ZAPATA HENAO SOFIA </t>
  </si>
  <si>
    <t>INFORME   PARCIAL III PERIODO 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</si>
</sst>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€_-;\-* #,##0.00\ _€_-;_-* &quot;-&quot;??\ _€_-;_-@_-"/>
  </numFmts>
  <fonts count="44" x14ac:knownFonts="1">
    <font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10"/>
      <name val="Arial"/>
      <family val="2"/>
    </font>
    <font>
      <sz val="7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7"/>
      <color indexed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14"/>
      <color theme="1"/>
      <name val="Tahoma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5"/>
      <name val="Calibri"/>
      <family val="2"/>
      <scheme val="minor"/>
    </font>
    <font>
      <b/>
      <sz val="10"/>
      <color theme="0"/>
      <name val="Arial"/>
      <family val="2"/>
    </font>
    <font>
      <b/>
      <sz val="8"/>
      <color theme="5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Calibri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Arial"/>
      <family val="2"/>
    </font>
    <font>
      <sz val="14"/>
      <color rgb="FF000000"/>
      <name val="Calisto MT"/>
      <family val="1"/>
    </font>
    <font>
      <sz val="20"/>
      <color theme="1"/>
      <name val="Calibri"/>
      <family val="2"/>
      <scheme val="minor"/>
    </font>
    <font>
      <sz val="26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8"/>
      <color rgb="FF000000"/>
      <name val="Arial"/>
    </font>
    <font>
      <b/>
      <sz val="11"/>
      <color rgb="FF000000"/>
      <name val="Arial"/>
      <family val="2"/>
    </font>
    <font>
      <b/>
      <sz val="11"/>
      <name val="Arial"/>
      <family val="2"/>
    </font>
    <font>
      <b/>
      <sz val="6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rgb="FF93C47D"/>
      </patternFill>
    </fill>
    <fill>
      <patternFill patternType="solid">
        <fgColor rgb="FFF9E8EA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A9E2F3"/>
        <bgColor rgb="FFA9E2F3"/>
      </patternFill>
    </fill>
  </fills>
  <borders count="7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12"/>
      </right>
      <top style="thin">
        <color indexed="64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64"/>
      </top>
      <bottom style="thin">
        <color indexed="12"/>
      </bottom>
      <diagonal/>
    </border>
    <border>
      <left style="thin">
        <color indexed="64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64"/>
      </left>
      <right style="thin">
        <color indexed="12"/>
      </right>
      <top style="thin">
        <color indexed="12"/>
      </top>
      <bottom style="thin">
        <color indexed="64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1">
    <xf numFmtId="0" fontId="0" fillId="0" borderId="0"/>
    <xf numFmtId="165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7" fillId="0" borderId="0"/>
    <xf numFmtId="0" fontId="9" fillId="0" borderId="0"/>
    <xf numFmtId="0" fontId="2" fillId="0" borderId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26">
    <xf numFmtId="0" fontId="0" fillId="0" borderId="0" xfId="0"/>
    <xf numFmtId="0" fontId="15" fillId="0" borderId="1" xfId="0" applyFont="1" applyBorder="1"/>
    <xf numFmtId="0" fontId="15" fillId="0" borderId="2" xfId="0" applyFont="1" applyBorder="1" applyAlignment="1">
      <alignment horizontal="center" vertical="center"/>
    </xf>
    <xf numFmtId="9" fontId="15" fillId="0" borderId="3" xfId="0" applyNumberFormat="1" applyFont="1" applyBorder="1" applyAlignment="1">
      <alignment textRotation="90"/>
    </xf>
    <xf numFmtId="0" fontId="16" fillId="0" borderId="4" xfId="0" applyFont="1" applyBorder="1"/>
    <xf numFmtId="0" fontId="0" fillId="0" borderId="5" xfId="0" applyBorder="1"/>
    <xf numFmtId="49" fontId="13" fillId="0" borderId="6" xfId="0" applyNumberFormat="1" applyFont="1" applyBorder="1" applyAlignment="1">
      <alignment horizontal="center" vertical="top"/>
    </xf>
    <xf numFmtId="0" fontId="13" fillId="0" borderId="7" xfId="0" applyFont="1" applyBorder="1"/>
    <xf numFmtId="0" fontId="13" fillId="0" borderId="8" xfId="0" applyFont="1" applyBorder="1"/>
    <xf numFmtId="0" fontId="0" fillId="0" borderId="9" xfId="0" applyBorder="1"/>
    <xf numFmtId="0" fontId="0" fillId="0" borderId="10" xfId="0" applyBorder="1"/>
    <xf numFmtId="9" fontId="12" fillId="0" borderId="11" xfId="8" applyFont="1" applyBorder="1"/>
    <xf numFmtId="0" fontId="0" fillId="0" borderId="12" xfId="0" applyBorder="1"/>
    <xf numFmtId="0" fontId="0" fillId="0" borderId="13" xfId="0" applyBorder="1"/>
    <xf numFmtId="9" fontId="12" fillId="0" borderId="14" xfId="8" applyFont="1" applyBorder="1"/>
    <xf numFmtId="0" fontId="13" fillId="0" borderId="15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0" fillId="0" borderId="3" xfId="0" applyBorder="1"/>
    <xf numFmtId="0" fontId="0" fillId="0" borderId="18" xfId="0" applyBorder="1"/>
    <xf numFmtId="9" fontId="12" fillId="0" borderId="19" xfId="8" applyFont="1" applyBorder="1"/>
    <xf numFmtId="49" fontId="0" fillId="0" borderId="20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/>
    <xf numFmtId="0" fontId="0" fillId="2" borderId="22" xfId="0" applyFill="1" applyBorder="1"/>
    <xf numFmtId="0" fontId="13" fillId="2" borderId="23" xfId="0" applyFont="1" applyFill="1" applyBorder="1" applyAlignment="1">
      <alignment horizontal="left"/>
    </xf>
    <xf numFmtId="0" fontId="13" fillId="2" borderId="23" xfId="0" applyFont="1" applyFill="1" applyBorder="1"/>
    <xf numFmtId="0" fontId="0" fillId="2" borderId="25" xfId="0" applyFill="1" applyBorder="1"/>
    <xf numFmtId="0" fontId="0" fillId="2" borderId="26" xfId="0" applyFill="1" applyBorder="1"/>
    <xf numFmtId="0" fontId="0" fillId="2" borderId="27" xfId="0" applyFill="1" applyBorder="1"/>
    <xf numFmtId="49" fontId="17" fillId="2" borderId="23" xfId="0" applyNumberFormat="1" applyFont="1" applyFill="1" applyBorder="1" applyAlignment="1">
      <alignment horizontal="center" vertical="top"/>
    </xf>
    <xf numFmtId="0" fontId="15" fillId="0" borderId="29" xfId="0" applyFont="1" applyBorder="1"/>
    <xf numFmtId="0" fontId="0" fillId="2" borderId="28" xfId="0" applyFill="1" applyBorder="1" applyAlignment="1" applyProtection="1">
      <alignment horizontal="center"/>
      <protection locked="0"/>
    </xf>
    <xf numFmtId="0" fontId="17" fillId="0" borderId="9" xfId="0" applyFont="1" applyBorder="1" applyAlignment="1">
      <alignment horizontal="center"/>
    </xf>
    <xf numFmtId="0" fontId="18" fillId="0" borderId="28" xfId="0" applyFont="1" applyBorder="1" applyAlignment="1">
      <alignment horizontal="left" vertical="center" wrapText="1"/>
    </xf>
    <xf numFmtId="0" fontId="18" fillId="0" borderId="30" xfId="0" applyFont="1" applyBorder="1" applyAlignment="1">
      <alignment horizontal="left" vertical="center" wrapText="1"/>
    </xf>
    <xf numFmtId="0" fontId="3" fillId="0" borderId="0" xfId="4" applyFont="1" applyAlignment="1" applyProtection="1">
      <alignment vertical="top" wrapText="1" readingOrder="1"/>
      <protection locked="0"/>
    </xf>
    <xf numFmtId="0" fontId="0" fillId="0" borderId="26" xfId="0" applyBorder="1"/>
    <xf numFmtId="0" fontId="17" fillId="3" borderId="31" xfId="0" applyFont="1" applyFill="1" applyBorder="1" applyAlignment="1">
      <alignment vertical="center" textRotation="90" wrapText="1"/>
    </xf>
    <xf numFmtId="49" fontId="0" fillId="0" borderId="0" xfId="0" applyNumberFormat="1" applyAlignment="1">
      <alignment horizontal="center"/>
    </xf>
    <xf numFmtId="9" fontId="12" fillId="0" borderId="0" xfId="8" applyFont="1"/>
    <xf numFmtId="0" fontId="19" fillId="0" borderId="0" xfId="0" applyFont="1"/>
    <xf numFmtId="165" fontId="12" fillId="3" borderId="32" xfId="1" applyFont="1" applyFill="1" applyBorder="1" applyAlignment="1">
      <alignment horizontal="center" vertical="center"/>
    </xf>
    <xf numFmtId="165" fontId="12" fillId="4" borderId="32" xfId="1" applyFont="1" applyFill="1" applyBorder="1" applyAlignment="1">
      <alignment horizontal="center" vertical="center"/>
    </xf>
    <xf numFmtId="165" fontId="12" fillId="5" borderId="32" xfId="1" applyFont="1" applyFill="1" applyBorder="1" applyAlignment="1">
      <alignment horizontal="center" vertical="center"/>
    </xf>
    <xf numFmtId="165" fontId="12" fillId="6" borderId="32" xfId="1" applyFont="1" applyFill="1" applyBorder="1" applyAlignment="1">
      <alignment horizontal="center" vertical="center"/>
    </xf>
    <xf numFmtId="165" fontId="12" fillId="7" borderId="32" xfId="1" applyFont="1" applyFill="1" applyBorder="1" applyAlignment="1">
      <alignment horizontal="center" vertical="center"/>
    </xf>
    <xf numFmtId="0" fontId="20" fillId="2" borderId="33" xfId="0" applyFont="1" applyFill="1" applyBorder="1" applyAlignment="1">
      <alignment horizontal="center"/>
    </xf>
    <xf numFmtId="0" fontId="21" fillId="0" borderId="1" xfId="0" applyFont="1" applyBorder="1"/>
    <xf numFmtId="9" fontId="0" fillId="0" borderId="0" xfId="0" applyNumberFormat="1"/>
    <xf numFmtId="0" fontId="0" fillId="0" borderId="0" xfId="0" applyAlignment="1">
      <alignment horizontal="center"/>
    </xf>
    <xf numFmtId="0" fontId="3" fillId="0" borderId="40" xfId="0" applyFont="1" applyBorder="1" applyAlignment="1" applyProtection="1">
      <alignment horizontal="center" vertical="center" wrapText="1" readingOrder="1"/>
      <protection locked="0"/>
    </xf>
    <xf numFmtId="0" fontId="3" fillId="0" borderId="41" xfId="0" applyFont="1" applyBorder="1" applyAlignment="1" applyProtection="1">
      <alignment horizontal="center" vertical="center" wrapText="1" readingOrder="1"/>
      <protection locked="0"/>
    </xf>
    <xf numFmtId="165" fontId="12" fillId="8" borderId="32" xfId="1" applyFont="1" applyFill="1" applyBorder="1" applyAlignment="1">
      <alignment horizontal="center" vertical="center"/>
    </xf>
    <xf numFmtId="0" fontId="0" fillId="9" borderId="0" xfId="0" applyFill="1"/>
    <xf numFmtId="0" fontId="0" fillId="2" borderId="0" xfId="0" applyFill="1"/>
    <xf numFmtId="0" fontId="21" fillId="0" borderId="39" xfId="0" applyFont="1" applyBorder="1"/>
    <xf numFmtId="0" fontId="0" fillId="0" borderId="28" xfId="0" applyBorder="1"/>
    <xf numFmtId="49" fontId="0" fillId="2" borderId="0" xfId="0" applyNumberFormat="1" applyFill="1"/>
    <xf numFmtId="0" fontId="22" fillId="3" borderId="31" xfId="0" applyFont="1" applyFill="1" applyBorder="1" applyAlignment="1">
      <alignment vertical="center" textRotation="90" wrapText="1"/>
    </xf>
    <xf numFmtId="0" fontId="24" fillId="3" borderId="31" xfId="0" applyFont="1" applyFill="1" applyBorder="1" applyAlignment="1">
      <alignment vertical="center" textRotation="90" wrapText="1"/>
    </xf>
    <xf numFmtId="0" fontId="27" fillId="11" borderId="28" xfId="0" applyFont="1" applyFill="1" applyBorder="1" applyAlignment="1">
      <alignment horizontal="center"/>
    </xf>
    <xf numFmtId="0" fontId="25" fillId="2" borderId="3" xfId="0" applyFont="1" applyFill="1" applyBorder="1"/>
    <xf numFmtId="0" fontId="26" fillId="2" borderId="19" xfId="0" applyFont="1" applyFill="1" applyBorder="1"/>
    <xf numFmtId="0" fontId="11" fillId="3" borderId="28" xfId="6" applyFont="1" applyFill="1" applyBorder="1" applyAlignment="1">
      <alignment horizontal="center" vertical="center" textRotation="90"/>
    </xf>
    <xf numFmtId="0" fontId="23" fillId="10" borderId="28" xfId="6" applyFont="1" applyFill="1" applyBorder="1" applyAlignment="1">
      <alignment horizontal="center" vertical="center" textRotation="90"/>
    </xf>
    <xf numFmtId="0" fontId="11" fillId="0" borderId="28" xfId="6" applyFont="1" applyBorder="1" applyAlignment="1">
      <alignment horizontal="center" vertical="center" textRotation="90"/>
    </xf>
    <xf numFmtId="0" fontId="17" fillId="2" borderId="31" xfId="0" applyFont="1" applyFill="1" applyBorder="1" applyAlignment="1">
      <alignment horizontal="center" vertical="center" textRotation="90" wrapText="1"/>
    </xf>
    <xf numFmtId="0" fontId="17" fillId="0" borderId="31" xfId="0" applyFont="1" applyBorder="1" applyAlignment="1">
      <alignment horizontal="center" vertical="center" textRotation="90" wrapText="1"/>
    </xf>
    <xf numFmtId="0" fontId="29" fillId="0" borderId="0" xfId="0" applyFont="1" applyAlignment="1">
      <alignment horizontal="center"/>
    </xf>
    <xf numFmtId="0" fontId="17" fillId="0" borderId="7" xfId="0" applyFont="1" applyBorder="1" applyAlignment="1">
      <alignment horizontal="center" vertical="center" textRotation="90" wrapText="1"/>
    </xf>
    <xf numFmtId="0" fontId="17" fillId="0" borderId="6" xfId="0" applyFont="1" applyBorder="1" applyAlignment="1">
      <alignment horizontal="center" vertical="center" textRotation="90" wrapText="1"/>
    </xf>
    <xf numFmtId="0" fontId="14" fillId="0" borderId="5" xfId="0" applyFont="1" applyBorder="1" applyAlignment="1">
      <alignment vertical="center"/>
    </xf>
    <xf numFmtId="0" fontId="15" fillId="0" borderId="42" xfId="0" applyFont="1" applyBorder="1" applyAlignment="1">
      <alignment horizontal="center" vertical="center"/>
    </xf>
    <xf numFmtId="0" fontId="14" fillId="0" borderId="4" xfId="0" applyFont="1" applyBorder="1" applyAlignment="1">
      <alignment vertical="center"/>
    </xf>
    <xf numFmtId="0" fontId="6" fillId="0" borderId="43" xfId="4" applyFont="1" applyBorder="1" applyAlignment="1">
      <alignment horizontal="center" vertical="center" wrapText="1" readingOrder="1"/>
    </xf>
    <xf numFmtId="0" fontId="5" fillId="2" borderId="13" xfId="0" applyFont="1" applyFill="1" applyBorder="1" applyAlignment="1">
      <alignment vertical="center" wrapText="1" readingOrder="1"/>
    </xf>
    <xf numFmtId="0" fontId="30" fillId="2" borderId="0" xfId="0" applyFont="1" applyFill="1"/>
    <xf numFmtId="0" fontId="31" fillId="2" borderId="28" xfId="0" applyFont="1" applyFill="1" applyBorder="1" applyAlignment="1">
      <alignment horizontal="center"/>
    </xf>
    <xf numFmtId="0" fontId="31" fillId="0" borderId="0" xfId="0" applyFont="1"/>
    <xf numFmtId="0" fontId="3" fillId="0" borderId="44" xfId="0" applyFont="1" applyBorder="1" applyAlignment="1">
      <alignment vertical="center" wrapText="1" readingOrder="1"/>
    </xf>
    <xf numFmtId="0" fontId="2" fillId="2" borderId="45" xfId="0" applyFont="1" applyFill="1" applyBorder="1" applyAlignment="1">
      <alignment horizontal="center" vertical="center" wrapText="1" readingOrder="1"/>
    </xf>
    <xf numFmtId="0" fontId="2" fillId="2" borderId="46" xfId="0" applyFont="1" applyFill="1" applyBorder="1" applyAlignment="1">
      <alignment horizontal="center" vertical="center" wrapText="1" readingOrder="1"/>
    </xf>
    <xf numFmtId="0" fontId="28" fillId="0" borderId="13" xfId="0" applyFont="1" applyBorder="1"/>
    <xf numFmtId="0" fontId="32" fillId="12" borderId="32" xfId="0" applyFont="1" applyFill="1" applyBorder="1"/>
    <xf numFmtId="0" fontId="36" fillId="14" borderId="28" xfId="0" applyFont="1" applyFill="1" applyBorder="1" applyAlignment="1">
      <alignment horizontal="center"/>
    </xf>
    <xf numFmtId="0" fontId="35" fillId="0" borderId="28" xfId="0" applyFont="1" applyBorder="1"/>
    <xf numFmtId="0" fontId="35" fillId="15" borderId="28" xfId="0" applyFont="1" applyFill="1" applyBorder="1"/>
    <xf numFmtId="0" fontId="35" fillId="0" borderId="28" xfId="0" applyFont="1" applyBorder="1" applyAlignment="1">
      <alignment horizontal="center"/>
    </xf>
    <xf numFmtId="0" fontId="35" fillId="15" borderId="28" xfId="0" applyFont="1" applyFill="1" applyBorder="1" applyAlignment="1">
      <alignment horizontal="center"/>
    </xf>
    <xf numFmtId="0" fontId="17" fillId="0" borderId="4" xfId="0" applyFont="1" applyBorder="1" applyAlignment="1">
      <alignment horizontal="center" vertical="center" textRotation="90" wrapText="1"/>
    </xf>
    <xf numFmtId="0" fontId="17" fillId="2" borderId="4" xfId="0" applyFont="1" applyFill="1" applyBorder="1" applyAlignment="1">
      <alignment horizontal="center" vertical="center" textRotation="90" wrapText="1"/>
    </xf>
    <xf numFmtId="0" fontId="17" fillId="0" borderId="49" xfId="0" applyFont="1" applyBorder="1" applyAlignment="1">
      <alignment horizontal="center" vertical="center" textRotation="90" wrapText="1"/>
    </xf>
    <xf numFmtId="0" fontId="17" fillId="0" borderId="50" xfId="0" applyFont="1" applyBorder="1" applyAlignment="1">
      <alignment horizontal="center" vertical="center" textRotation="90" wrapText="1"/>
    </xf>
    <xf numFmtId="0" fontId="2" fillId="2" borderId="51" xfId="0" applyFont="1" applyFill="1" applyBorder="1" applyAlignment="1">
      <alignment horizontal="center" vertical="center" wrapText="1" readingOrder="1"/>
    </xf>
    <xf numFmtId="0" fontId="37" fillId="16" borderId="4" xfId="0" applyFont="1" applyFill="1" applyBorder="1" applyAlignment="1">
      <alignment vertical="center" textRotation="90" wrapText="1"/>
    </xf>
    <xf numFmtId="0" fontId="38" fillId="16" borderId="4" xfId="0" applyFont="1" applyFill="1" applyBorder="1" applyAlignment="1">
      <alignment vertical="center" textRotation="90" wrapText="1"/>
    </xf>
    <xf numFmtId="0" fontId="6" fillId="0" borderId="48" xfId="4" applyFont="1" applyBorder="1" applyAlignment="1">
      <alignment horizontal="center" vertical="center" wrapText="1" readingOrder="1"/>
    </xf>
    <xf numFmtId="0" fontId="17" fillId="3" borderId="4" xfId="0" applyFont="1" applyFill="1" applyBorder="1" applyAlignment="1">
      <alignment vertical="center" textRotation="90" wrapText="1"/>
    </xf>
    <xf numFmtId="0" fontId="2" fillId="2" borderId="32" xfId="0" applyFont="1" applyFill="1" applyBorder="1" applyAlignment="1">
      <alignment horizontal="center" vertical="center" wrapText="1" readingOrder="1"/>
    </xf>
    <xf numFmtId="0" fontId="15" fillId="0" borderId="32" xfId="0" applyFont="1" applyBorder="1" applyAlignment="1">
      <alignment horizontal="center" vertical="center"/>
    </xf>
    <xf numFmtId="0" fontId="34" fillId="13" borderId="47" xfId="0" applyFont="1" applyFill="1" applyBorder="1" applyAlignment="1">
      <alignment horizontal="center" wrapText="1" readingOrder="1"/>
    </xf>
    <xf numFmtId="0" fontId="34" fillId="13" borderId="47" xfId="0" applyFont="1" applyFill="1" applyBorder="1" applyAlignment="1">
      <alignment horizontal="left" wrapText="1" readingOrder="1"/>
    </xf>
    <xf numFmtId="0" fontId="34" fillId="13" borderId="47" xfId="0" applyFont="1" applyFill="1" applyBorder="1" applyAlignment="1">
      <alignment horizontal="right" wrapText="1" readingOrder="1"/>
    </xf>
    <xf numFmtId="9" fontId="34" fillId="13" borderId="47" xfId="0" applyNumberFormat="1" applyFont="1" applyFill="1" applyBorder="1" applyAlignment="1">
      <alignment horizontal="right" wrapText="1" readingOrder="1"/>
    </xf>
    <xf numFmtId="9" fontId="12" fillId="0" borderId="0" xfId="8" applyFont="1" applyProtection="1"/>
    <xf numFmtId="49" fontId="20" fillId="0" borderId="0" xfId="0" applyNumberFormat="1" applyFont="1" applyAlignment="1">
      <alignment horizontal="center"/>
    </xf>
    <xf numFmtId="0" fontId="4" fillId="0" borderId="13" xfId="0" applyFont="1" applyBorder="1" applyAlignment="1">
      <alignment vertical="top" wrapText="1" readingOrder="1"/>
    </xf>
    <xf numFmtId="0" fontId="21" fillId="0" borderId="52" xfId="0" applyFont="1" applyBorder="1"/>
    <xf numFmtId="0" fontId="5" fillId="2" borderId="53" xfId="0" applyFont="1" applyFill="1" applyBorder="1" applyAlignment="1">
      <alignment vertical="center" wrapText="1" readingOrder="1"/>
    </xf>
    <xf numFmtId="0" fontId="0" fillId="0" borderId="53" xfId="0" applyBorder="1"/>
    <xf numFmtId="0" fontId="41" fillId="0" borderId="53" xfId="0" applyFont="1" applyBorder="1" applyAlignment="1">
      <alignment horizontal="center" vertical="center" wrapText="1" readingOrder="1"/>
    </xf>
    <xf numFmtId="0" fontId="13" fillId="0" borderId="53" xfId="0" applyFont="1" applyBorder="1" applyAlignment="1">
      <alignment horizontal="center" vertical="center"/>
    </xf>
    <xf numFmtId="0" fontId="40" fillId="0" borderId="53" xfId="0" applyFont="1" applyBorder="1" applyAlignment="1">
      <alignment vertical="center" wrapText="1" readingOrder="1"/>
    </xf>
    <xf numFmtId="0" fontId="43" fillId="0" borderId="32" xfId="0" applyFont="1" applyBorder="1" applyAlignment="1">
      <alignment horizontal="center" vertical="center"/>
    </xf>
    <xf numFmtId="0" fontId="0" fillId="2" borderId="24" xfId="0" applyFill="1" applyBorder="1" applyAlignment="1">
      <alignment horizontal="center"/>
    </xf>
    <xf numFmtId="0" fontId="5" fillId="2" borderId="54" xfId="0" applyFont="1" applyFill="1" applyBorder="1" applyAlignment="1">
      <alignment vertical="center" wrapText="1" readingOrder="1"/>
    </xf>
    <xf numFmtId="0" fontId="3" fillId="0" borderId="55" xfId="0" applyFont="1" applyBorder="1" applyAlignment="1">
      <alignment vertical="center" wrapText="1" readingOrder="1"/>
    </xf>
    <xf numFmtId="0" fontId="33" fillId="12" borderId="51" xfId="0" applyFont="1" applyFill="1" applyBorder="1"/>
    <xf numFmtId="0" fontId="13" fillId="2" borderId="54" xfId="0" applyFont="1" applyFill="1" applyBorder="1" applyAlignment="1">
      <alignment horizontal="center"/>
    </xf>
    <xf numFmtId="49" fontId="0" fillId="2" borderId="54" xfId="0" applyNumberFormat="1" applyFill="1" applyBorder="1"/>
    <xf numFmtId="0" fontId="0" fillId="2" borderId="54" xfId="0" applyFill="1" applyBorder="1"/>
    <xf numFmtId="49" fontId="0" fillId="0" borderId="56" xfId="0" applyNumberFormat="1" applyBorder="1" applyAlignment="1">
      <alignment horizontal="center"/>
    </xf>
    <xf numFmtId="0" fontId="0" fillId="0" borderId="57" xfId="0" applyBorder="1" applyAlignment="1">
      <alignment horizontal="center"/>
    </xf>
    <xf numFmtId="0" fontId="33" fillId="2" borderId="51" xfId="0" applyFont="1" applyFill="1" applyBorder="1"/>
    <xf numFmtId="0" fontId="8" fillId="0" borderId="58" xfId="0" applyFont="1" applyBorder="1" applyAlignment="1">
      <alignment horizontal="center" vertical="top" wrapText="1" readingOrder="1"/>
    </xf>
    <xf numFmtId="0" fontId="32" fillId="12" borderId="59" xfId="0" applyFont="1" applyFill="1" applyBorder="1"/>
    <xf numFmtId="0" fontId="12" fillId="12" borderId="59" xfId="0" applyFont="1" applyFill="1" applyBorder="1"/>
    <xf numFmtId="0" fontId="28" fillId="0" borderId="53" xfId="0" applyFont="1" applyBorder="1"/>
    <xf numFmtId="0" fontId="2" fillId="2" borderId="37" xfId="0" applyFont="1" applyFill="1" applyBorder="1" applyAlignment="1">
      <alignment horizontal="center" vertical="center" wrapText="1" readingOrder="1"/>
    </xf>
    <xf numFmtId="0" fontId="2" fillId="2" borderId="53" xfId="0" applyFont="1" applyFill="1" applyBorder="1" applyAlignment="1">
      <alignment horizontal="center" vertical="center" wrapText="1" readingOrder="1"/>
    </xf>
    <xf numFmtId="0" fontId="4" fillId="0" borderId="60" xfId="0" applyFont="1" applyBorder="1" applyAlignment="1">
      <alignment vertical="top" wrapText="1" readingOrder="1"/>
    </xf>
    <xf numFmtId="0" fontId="2" fillId="0" borderId="60" xfId="7" applyBorder="1"/>
    <xf numFmtId="0" fontId="0" fillId="0" borderId="60" xfId="0" applyBorder="1"/>
    <xf numFmtId="9" fontId="12" fillId="2" borderId="60" xfId="8" applyFont="1" applyFill="1" applyBorder="1" applyProtection="1"/>
    <xf numFmtId="0" fontId="17" fillId="0" borderId="61" xfId="0" applyFont="1" applyBorder="1" applyAlignment="1">
      <alignment horizontal="center"/>
    </xf>
    <xf numFmtId="0" fontId="10" fillId="0" borderId="60" xfId="7" applyFont="1" applyBorder="1"/>
    <xf numFmtId="9" fontId="2" fillId="0" borderId="60" xfId="7" applyNumberFormat="1" applyBorder="1"/>
    <xf numFmtId="0" fontId="13" fillId="0" borderId="60" xfId="0" applyFont="1" applyBorder="1"/>
    <xf numFmtId="0" fontId="17" fillId="0" borderId="60" xfId="0" applyFont="1" applyBorder="1" applyAlignment="1">
      <alignment horizontal="center" vertical="center" wrapText="1"/>
    </xf>
    <xf numFmtId="0" fontId="5" fillId="2" borderId="59" xfId="0" applyFont="1" applyFill="1" applyBorder="1" applyAlignment="1">
      <alignment vertical="center" wrapText="1" readingOrder="1"/>
    </xf>
    <xf numFmtId="0" fontId="39" fillId="2" borderId="59" xfId="0" applyFont="1" applyFill="1" applyBorder="1" applyAlignment="1">
      <alignment horizontal="center" vertical="center" wrapText="1" readingOrder="1"/>
    </xf>
    <xf numFmtId="0" fontId="40" fillId="0" borderId="59" xfId="0" applyFont="1" applyBorder="1" applyAlignment="1">
      <alignment vertical="center" wrapText="1" readingOrder="1"/>
    </xf>
    <xf numFmtId="0" fontId="41" fillId="0" borderId="59" xfId="0" applyFont="1" applyBorder="1" applyAlignment="1">
      <alignment horizontal="center" vertical="center" wrapText="1" readingOrder="1"/>
    </xf>
    <xf numFmtId="0" fontId="42" fillId="2" borderId="59" xfId="0" applyFont="1" applyFill="1" applyBorder="1" applyAlignment="1">
      <alignment horizontal="center" vertical="center" wrapText="1" readingOrder="1"/>
    </xf>
    <xf numFmtId="0" fontId="13" fillId="2" borderId="60" xfId="0" applyFont="1" applyFill="1" applyBorder="1" applyAlignment="1">
      <alignment horizontal="center"/>
    </xf>
    <xf numFmtId="49" fontId="0" fillId="2" borderId="60" xfId="0" applyNumberFormat="1" applyFill="1" applyBorder="1"/>
    <xf numFmtId="0" fontId="0" fillId="2" borderId="60" xfId="0" applyFill="1" applyBorder="1"/>
    <xf numFmtId="0" fontId="13" fillId="0" borderId="60" xfId="0" applyFont="1" applyBorder="1" applyAlignment="1">
      <alignment horizontal="center"/>
    </xf>
    <xf numFmtId="49" fontId="0" fillId="0" borderId="60" xfId="0" applyNumberFormat="1" applyBorder="1" applyAlignment="1">
      <alignment horizontal="center"/>
    </xf>
    <xf numFmtId="0" fontId="0" fillId="0" borderId="60" xfId="0" applyBorder="1" applyAlignment="1">
      <alignment horizontal="center"/>
    </xf>
    <xf numFmtId="9" fontId="12" fillId="0" borderId="60" xfId="8" applyFont="1" applyBorder="1" applyAlignment="1" applyProtection="1">
      <alignment horizontal="center"/>
    </xf>
    <xf numFmtId="0" fontId="8" fillId="0" borderId="62" xfId="0" applyFont="1" applyBorder="1" applyAlignment="1">
      <alignment horizontal="center" vertical="top" wrapText="1" readingOrder="1"/>
    </xf>
    <xf numFmtId="9" fontId="0" fillId="0" borderId="60" xfId="8" applyFont="1" applyBorder="1" applyProtection="1"/>
    <xf numFmtId="0" fontId="3" fillId="0" borderId="59" xfId="0" applyFont="1" applyBorder="1" applyAlignment="1">
      <alignment vertical="center" wrapText="1" readingOrder="1"/>
    </xf>
    <xf numFmtId="0" fontId="0" fillId="0" borderId="59" xfId="0" applyBorder="1"/>
    <xf numFmtId="0" fontId="13" fillId="0" borderId="59" xfId="0" applyFont="1" applyBorder="1" applyAlignment="1">
      <alignment horizontal="center" vertical="center"/>
    </xf>
    <xf numFmtId="9" fontId="0" fillId="0" borderId="60" xfId="8" applyFont="1" applyBorder="1"/>
    <xf numFmtId="0" fontId="14" fillId="0" borderId="65" xfId="0" applyFont="1" applyBorder="1" applyAlignment="1">
      <alignment vertical="top"/>
    </xf>
    <xf numFmtId="0" fontId="6" fillId="0" borderId="67" xfId="4" applyFont="1" applyBorder="1" applyAlignment="1" applyProtection="1">
      <alignment horizontal="center" vertical="center" wrapText="1" readingOrder="1"/>
      <protection locked="0"/>
    </xf>
    <xf numFmtId="0" fontId="3" fillId="0" borderId="67" xfId="4" applyFont="1" applyBorder="1" applyAlignment="1" applyProtection="1">
      <alignment vertical="top" wrapText="1" readingOrder="1"/>
      <protection locked="0"/>
    </xf>
    <xf numFmtId="0" fontId="4" fillId="0" borderId="60" xfId="0" applyFont="1" applyBorder="1" applyAlignment="1" applyProtection="1">
      <alignment vertical="top" wrapText="1" readingOrder="1"/>
      <protection locked="0"/>
    </xf>
    <xf numFmtId="0" fontId="4" fillId="0" borderId="60" xfId="0" applyFont="1" applyBorder="1" applyAlignment="1" applyProtection="1">
      <alignment horizontal="right" vertical="top" wrapText="1" readingOrder="1"/>
      <protection locked="0"/>
    </xf>
    <xf numFmtId="0" fontId="5" fillId="0" borderId="68" xfId="0" applyFont="1" applyBorder="1" applyAlignment="1" applyProtection="1">
      <alignment horizontal="center" vertical="top" wrapText="1" readingOrder="1"/>
      <protection locked="0"/>
    </xf>
    <xf numFmtId="0" fontId="5" fillId="0" borderId="69" xfId="0" applyFont="1" applyBorder="1" applyAlignment="1" applyProtection="1">
      <alignment horizontal="center" vertical="top" wrapText="1" readingOrder="1"/>
      <protection locked="0"/>
    </xf>
    <xf numFmtId="0" fontId="5" fillId="0" borderId="70" xfId="0" applyFont="1" applyBorder="1" applyAlignment="1" applyProtection="1">
      <alignment horizontal="center" vertical="top" wrapText="1" readingOrder="1"/>
      <protection locked="0"/>
    </xf>
    <xf numFmtId="0" fontId="5" fillId="0" borderId="71" xfId="0" applyFont="1" applyBorder="1" applyAlignment="1" applyProtection="1">
      <alignment horizontal="center" vertical="top" wrapText="1" readingOrder="1"/>
      <protection locked="0"/>
    </xf>
    <xf numFmtId="0" fontId="5" fillId="0" borderId="72" xfId="0" applyFont="1" applyBorder="1" applyAlignment="1" applyProtection="1">
      <alignment horizontal="center" vertical="top" wrapText="1" readingOrder="1"/>
      <protection locked="0"/>
    </xf>
    <xf numFmtId="0" fontId="5" fillId="0" borderId="73" xfId="0" applyFont="1" applyBorder="1" applyAlignment="1" applyProtection="1">
      <alignment horizontal="center" vertical="top" wrapText="1" readingOrder="1"/>
      <protection locked="0"/>
    </xf>
    <xf numFmtId="0" fontId="5" fillId="0" borderId="60" xfId="0" applyFont="1" applyBorder="1" applyAlignment="1">
      <alignment vertical="center" wrapText="1" readingOrder="1"/>
    </xf>
    <xf numFmtId="0" fontId="39" fillId="2" borderId="59" xfId="0" applyFont="1" applyFill="1" applyBorder="1" applyAlignment="1">
      <alignment horizontal="left" vertical="center" wrapText="1" readingOrder="1"/>
    </xf>
    <xf numFmtId="0" fontId="2" fillId="2" borderId="59" xfId="0" applyFont="1" applyFill="1" applyBorder="1" applyAlignment="1">
      <alignment horizontal="center" vertical="center" wrapText="1" readingOrder="1"/>
    </xf>
    <xf numFmtId="0" fontId="39" fillId="2" borderId="53" xfId="0" applyFont="1" applyFill="1" applyBorder="1" applyAlignment="1">
      <alignment horizontal="center" vertical="center" wrapText="1" readingOrder="1"/>
    </xf>
    <xf numFmtId="0" fontId="14" fillId="0" borderId="31" xfId="0" applyFont="1" applyBorder="1" applyAlignment="1">
      <alignment vertical="top"/>
    </xf>
    <xf numFmtId="0" fontId="14" fillId="0" borderId="34" xfId="0" applyFont="1" applyBorder="1" applyAlignment="1">
      <alignment vertical="top"/>
    </xf>
    <xf numFmtId="0" fontId="14" fillId="0" borderId="35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textRotation="90" wrapText="1" shrinkToFit="1"/>
    </xf>
    <xf numFmtId="0" fontId="14" fillId="0" borderId="23" xfId="0" applyFont="1" applyBorder="1" applyAlignment="1">
      <alignment horizontal="center" vertical="center" textRotation="90" wrapText="1" shrinkToFit="1"/>
    </xf>
    <xf numFmtId="0" fontId="14" fillId="0" borderId="25" xfId="0" applyFont="1" applyBorder="1" applyAlignment="1">
      <alignment horizontal="center" vertical="center" textRotation="90" wrapText="1" shrinkToFit="1"/>
    </xf>
    <xf numFmtId="0" fontId="14" fillId="0" borderId="26" xfId="0" applyFont="1" applyBorder="1" applyAlignment="1">
      <alignment horizontal="center" vertical="center" textRotation="90" wrapText="1" shrinkToFit="1"/>
    </xf>
    <xf numFmtId="0" fontId="17" fillId="6" borderId="63" xfId="0" applyFont="1" applyFill="1" applyBorder="1" applyAlignment="1">
      <alignment horizontal="center" vertical="center" wrapText="1"/>
    </xf>
    <xf numFmtId="0" fontId="17" fillId="6" borderId="64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/>
    </xf>
    <xf numFmtId="0" fontId="13" fillId="2" borderId="24" xfId="0" applyFont="1" applyFill="1" applyBorder="1" applyAlignment="1">
      <alignment horizontal="left"/>
    </xf>
    <xf numFmtId="0" fontId="20" fillId="2" borderId="23" xfId="0" applyFont="1" applyFill="1" applyBorder="1" applyAlignment="1">
      <alignment horizontal="center"/>
    </xf>
    <xf numFmtId="0" fontId="20" fillId="2" borderId="0" xfId="0" applyFont="1" applyFill="1" applyAlignment="1">
      <alignment horizontal="center"/>
    </xf>
    <xf numFmtId="0" fontId="20" fillId="2" borderId="24" xfId="0" applyFont="1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24" xfId="0" applyFill="1" applyBorder="1" applyAlignment="1">
      <alignment horizontal="center"/>
    </xf>
    <xf numFmtId="0" fontId="27" fillId="11" borderId="3" xfId="0" applyFont="1" applyFill="1" applyBorder="1" applyAlignment="1">
      <alignment horizontal="center"/>
    </xf>
    <xf numFmtId="0" fontId="27" fillId="11" borderId="19" xfId="0" applyFont="1" applyFill="1" applyBorder="1" applyAlignment="1">
      <alignment horizontal="center"/>
    </xf>
    <xf numFmtId="0" fontId="17" fillId="3" borderId="31" xfId="0" applyFont="1" applyFill="1" applyBorder="1" applyAlignment="1">
      <alignment horizontal="center" vertical="center" wrapText="1"/>
    </xf>
    <xf numFmtId="0" fontId="17" fillId="3" borderId="38" xfId="0" applyFont="1" applyFill="1" applyBorder="1" applyAlignment="1">
      <alignment horizontal="center" vertical="center" wrapText="1"/>
    </xf>
    <xf numFmtId="0" fontId="17" fillId="16" borderId="63" xfId="0" applyFont="1" applyFill="1" applyBorder="1" applyAlignment="1">
      <alignment horizontal="center" vertical="center" wrapText="1"/>
    </xf>
    <xf numFmtId="0" fontId="17" fillId="16" borderId="64" xfId="0" applyFont="1" applyFill="1" applyBorder="1" applyAlignment="1">
      <alignment horizontal="center" vertical="center" wrapText="1"/>
    </xf>
    <xf numFmtId="0" fontId="17" fillId="5" borderId="63" xfId="0" applyFont="1" applyFill="1" applyBorder="1" applyAlignment="1">
      <alignment horizontal="center" vertical="center" wrapText="1"/>
    </xf>
    <xf numFmtId="0" fontId="17" fillId="5" borderId="64" xfId="0" applyFont="1" applyFill="1" applyBorder="1" applyAlignment="1">
      <alignment horizontal="center" vertical="center" wrapText="1"/>
    </xf>
    <xf numFmtId="0" fontId="17" fillId="4" borderId="31" xfId="0" applyFont="1" applyFill="1" applyBorder="1" applyAlignment="1">
      <alignment horizontal="center" vertical="center" wrapText="1"/>
    </xf>
    <xf numFmtId="0" fontId="17" fillId="4" borderId="38" xfId="0" applyFont="1" applyFill="1" applyBorder="1" applyAlignment="1">
      <alignment horizontal="center" vertical="center" wrapText="1"/>
    </xf>
    <xf numFmtId="0" fontId="17" fillId="4" borderId="63" xfId="0" applyFont="1" applyFill="1" applyBorder="1" applyAlignment="1">
      <alignment horizontal="center" vertical="center" wrapText="1"/>
    </xf>
    <xf numFmtId="0" fontId="17" fillId="4" borderId="64" xfId="0" applyFont="1" applyFill="1" applyBorder="1" applyAlignment="1">
      <alignment horizontal="center" vertical="center" wrapText="1"/>
    </xf>
    <xf numFmtId="0" fontId="17" fillId="8" borderId="63" xfId="0" applyFont="1" applyFill="1" applyBorder="1" applyAlignment="1">
      <alignment horizontal="center" vertical="center" wrapText="1"/>
    </xf>
    <xf numFmtId="0" fontId="17" fillId="8" borderId="64" xfId="0" applyFont="1" applyFill="1" applyBorder="1" applyAlignment="1">
      <alignment horizontal="center" vertical="center" wrapText="1"/>
    </xf>
    <xf numFmtId="0" fontId="17" fillId="3" borderId="63" xfId="0" applyFont="1" applyFill="1" applyBorder="1" applyAlignment="1">
      <alignment horizontal="center" vertical="center" wrapText="1"/>
    </xf>
    <xf numFmtId="0" fontId="17" fillId="3" borderId="64" xfId="0" applyFont="1" applyFill="1" applyBorder="1" applyAlignment="1">
      <alignment horizontal="center" vertical="center" wrapText="1"/>
    </xf>
    <xf numFmtId="0" fontId="17" fillId="16" borderId="31" xfId="0" applyFont="1" applyFill="1" applyBorder="1" applyAlignment="1">
      <alignment horizontal="center" vertical="center" wrapText="1"/>
    </xf>
    <xf numFmtId="0" fontId="17" fillId="16" borderId="38" xfId="0" applyFont="1" applyFill="1" applyBorder="1" applyAlignment="1">
      <alignment horizontal="center" vertical="center" wrapText="1"/>
    </xf>
    <xf numFmtId="0" fontId="17" fillId="7" borderId="63" xfId="0" applyFont="1" applyFill="1" applyBorder="1" applyAlignment="1">
      <alignment horizontal="center" vertical="center" wrapText="1"/>
    </xf>
    <xf numFmtId="0" fontId="17" fillId="7" borderId="64" xfId="0" applyFont="1" applyFill="1" applyBorder="1" applyAlignment="1">
      <alignment horizontal="center" vertical="center" wrapText="1"/>
    </xf>
    <xf numFmtId="0" fontId="17" fillId="7" borderId="2" xfId="0" applyFont="1" applyFill="1" applyBorder="1" applyAlignment="1">
      <alignment horizontal="center" vertical="center" wrapText="1"/>
    </xf>
    <xf numFmtId="0" fontId="17" fillId="7" borderId="37" xfId="0" applyFont="1" applyFill="1" applyBorder="1" applyAlignment="1">
      <alignment horizontal="center" vertical="center" wrapText="1"/>
    </xf>
    <xf numFmtId="0" fontId="14" fillId="0" borderId="66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 textRotation="90" wrapText="1" shrinkToFit="1"/>
    </xf>
    <xf numFmtId="0" fontId="14" fillId="0" borderId="30" xfId="0" applyFont="1" applyBorder="1" applyAlignment="1">
      <alignment horizontal="center" vertical="center" textRotation="90" wrapText="1" shrinkToFit="1"/>
    </xf>
    <xf numFmtId="0" fontId="14" fillId="0" borderId="2" xfId="0" applyFont="1" applyBorder="1" applyAlignment="1">
      <alignment vertical="top"/>
    </xf>
    <xf numFmtId="0" fontId="14" fillId="0" borderId="36" xfId="0" applyFont="1" applyBorder="1" applyAlignment="1">
      <alignment vertical="top"/>
    </xf>
    <xf numFmtId="0" fontId="14" fillId="0" borderId="3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40" fillId="0" borderId="74" xfId="0" applyFont="1" applyBorder="1" applyAlignment="1">
      <alignment horizontal="left" vertical="top" wrapText="1" readingOrder="1"/>
    </xf>
    <xf numFmtId="0" fontId="40" fillId="17" borderId="74" xfId="0" applyFont="1" applyFill="1" applyBorder="1" applyAlignment="1">
      <alignment horizontal="left" vertical="top" wrapText="1" readingOrder="1"/>
    </xf>
  </cellXfs>
  <cellStyles count="11">
    <cellStyle name="Millares" xfId="1" builtinId="3"/>
    <cellStyle name="Millares 2" xfId="2" xr:uid="{00000000-0005-0000-0000-000001000000}"/>
    <cellStyle name="Millares 3" xfId="3" xr:uid="{00000000-0005-0000-0000-000002000000}"/>
    <cellStyle name="Normal" xfId="0" builtinId="0"/>
    <cellStyle name="Normal 4" xfId="4" xr:uid="{00000000-0005-0000-0000-000004000000}"/>
    <cellStyle name="Normal 5" xfId="5" xr:uid="{00000000-0005-0000-0000-000005000000}"/>
    <cellStyle name="Normal 6" xfId="6" xr:uid="{00000000-0005-0000-0000-000006000000}"/>
    <cellStyle name="Normal 7" xfId="7" xr:uid="{00000000-0005-0000-0000-000007000000}"/>
    <cellStyle name="Porcentaje" xfId="8" builtinId="5"/>
    <cellStyle name="Porcentual 2" xfId="9" xr:uid="{00000000-0005-0000-0000-000009000000}"/>
    <cellStyle name="Porcentual 3" xfId="10" xr:uid="{00000000-0005-0000-0000-00000A000000}"/>
  </cellStyles>
  <dxfs count="29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Materias Vs Estudiantes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4534471647361629E-2"/>
          <c:y val="0.12224953469964699"/>
          <c:w val="0.78002801855075821"/>
          <c:h val="0.733497208197881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'Informe 6-5'!$C$2</c:f>
              <c:strCache>
                <c:ptCount val="1"/>
                <c:pt idx="0">
                  <c:v># de estudiantes</c:v>
                </c:pt>
              </c:strCache>
            </c:strRef>
          </c:tx>
          <c:invertIfNegative val="0"/>
          <c:dLbls>
            <c:spPr>
              <a:ln cap="sq" cmpd="dbl"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6-5'!$B$3:$B$22</c:f>
              <c:strCache>
                <c:ptCount val="2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</c:strCache>
            </c:strRef>
          </c:cat>
          <c:val>
            <c:numRef>
              <c:f>'Informe 6-5'!$C$3:$C$22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E9-4E92-90B4-289806115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1273456"/>
        <c:axId val="221273848"/>
      </c:barChart>
      <c:catAx>
        <c:axId val="22127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21273848"/>
        <c:crosses val="autoZero"/>
        <c:auto val="1"/>
        <c:lblAlgn val="ctr"/>
        <c:lblOffset val="100"/>
        <c:noMultiLvlLbl val="0"/>
      </c:catAx>
      <c:valAx>
        <c:axId val="2212738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212734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670828595818225"/>
          <c:y val="0.52078290947127936"/>
          <c:w val="0.15114724019821413"/>
          <c:h val="5.8679706601467041E-2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spPr>
    <a:ln cmpd="thickThin">
      <a:solidFill>
        <a:srgbClr val="FF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accent3">
                    <a:lumMod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solidFill>
                  <a:schemeClr val="accent3">
                    <a:lumMod val="50000"/>
                  </a:schemeClr>
                </a:solidFill>
              </a:rPr>
              <a:t>Cantidad de Estudiantes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accent3">
                  <a:lumMod val="50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Informe!$C$1</c:f>
              <c:strCache>
                <c:ptCount val="1"/>
                <c:pt idx="0">
                  <c:v>Cantidad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Informe!$B$2:$B$5</c:f>
              <c:strCache>
                <c:ptCount val="4"/>
                <c:pt idx="0">
                  <c:v>Superior</c:v>
                </c:pt>
                <c:pt idx="1">
                  <c:v>Alta</c:v>
                </c:pt>
                <c:pt idx="2">
                  <c:v>Basico</c:v>
                </c:pt>
                <c:pt idx="3">
                  <c:v>Bajo</c:v>
                </c:pt>
              </c:strCache>
            </c:strRef>
          </c:cat>
          <c:val>
            <c:numRef>
              <c:f>Informe!$C$2:$C$5</c:f>
              <c:numCache>
                <c:formatCode>General</c:formatCode>
                <c:ptCount val="4"/>
                <c:pt idx="0">
                  <c:v>5</c:v>
                </c:pt>
                <c:pt idx="1">
                  <c:v>2</c:v>
                </c:pt>
                <c:pt idx="2">
                  <c:v>5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56-4866-A547-CB0BFC0A7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33147119"/>
        <c:axId val="419092463"/>
        <c:axId val="0"/>
      </c:bar3DChart>
      <c:catAx>
        <c:axId val="5331471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19092463"/>
        <c:crosses val="autoZero"/>
        <c:auto val="1"/>
        <c:lblAlgn val="ctr"/>
        <c:lblOffset val="100"/>
        <c:noMultiLvlLbl val="0"/>
      </c:catAx>
      <c:valAx>
        <c:axId val="4190924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3314711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Estadisticas!$P$6:$P$15</c:f>
              <c:strCach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strCache>
            </c:strRef>
          </c:cat>
          <c:val>
            <c:numRef>
              <c:f>Estadisticas!$Q$6:$Q$15</c:f>
              <c:numCache>
                <c:formatCode>General</c:formatCode>
                <c:ptCount val="10"/>
                <c:pt idx="0">
                  <c:v>9</c:v>
                </c:pt>
                <c:pt idx="1">
                  <c:v>4</c:v>
                </c:pt>
                <c:pt idx="2">
                  <c:v>5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E7-4F99-980F-58EFF28A9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3642440"/>
        <c:axId val="243642832"/>
        <c:axId val="0"/>
      </c:bar3DChart>
      <c:catAx>
        <c:axId val="243642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43642832"/>
        <c:crosses val="autoZero"/>
        <c:auto val="1"/>
        <c:lblAlgn val="ctr"/>
        <c:lblOffset val="100"/>
        <c:noMultiLvlLbl val="0"/>
      </c:catAx>
      <c:valAx>
        <c:axId val="243642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436424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O"/>
              <a:t>Cantidad de estudiantes con logros pendientes por Areas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solidFill>
                <a:srgbClr val="FF00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'Estadisticas IPERIODO'!$O$6:$O$15</c:f>
              <c:strCach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strCache>
            </c:strRef>
          </c:cat>
          <c:val>
            <c:numRef>
              <c:f>'Estadisticas IPERIODO'!$P$6:$P$15</c:f>
              <c:numCache>
                <c:formatCode>General</c:formatCode>
                <c:ptCount val="10"/>
                <c:pt idx="0">
                  <c:v>11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97-42D0-9F73-42DD77F5701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43643616"/>
        <c:axId val="243644008"/>
        <c:axId val="0"/>
      </c:bar3DChart>
      <c:catAx>
        <c:axId val="243643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3644008"/>
        <c:crosses val="autoZero"/>
        <c:auto val="1"/>
        <c:lblAlgn val="ctr"/>
        <c:lblOffset val="100"/>
        <c:noMultiLvlLbl val="0"/>
      </c:catAx>
      <c:valAx>
        <c:axId val="243644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43643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O" sz="1600" b="1" i="0" u="none" strike="noStrike" kern="1200" spc="100" baseline="0" dirty="0">
                <a:solidFill>
                  <a:srgbClr val="FFFFFF">
                    <a:lumMod val="95000"/>
                  </a:srgbClr>
                </a:solidFill>
                <a:effectLst/>
              </a:rPr>
              <a:t>Cantidad de estudiantes con logros pendientes por materia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Hoja4!$C$1</c:f>
              <c:strCache>
                <c:ptCount val="1"/>
                <c:pt idx="0">
                  <c:v># Estudiantes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solidFill>
                <a:srgbClr val="FF00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Hoja4!$B$2:$B$15</c:f>
              <c:strCache>
                <c:ptCount val="14"/>
                <c:pt idx="0">
                  <c:v>Ciencias Naturales</c:v>
                </c:pt>
                <c:pt idx="1">
                  <c:v>Ciencias De La Investigacion</c:v>
                </c:pt>
                <c:pt idx="2">
                  <c:v>Sociales</c:v>
                </c:pt>
                <c:pt idx="3">
                  <c:v>Historia de Colombia</c:v>
                </c:pt>
                <c:pt idx="4">
                  <c:v>Educación Artistica Y Cultural</c:v>
                </c:pt>
                <c:pt idx="5">
                  <c:v>Educación Física, Recreación Y Deportes</c:v>
                </c:pt>
                <c:pt idx="6">
                  <c:v>Lengua Castellana</c:v>
                </c:pt>
                <c:pt idx="7">
                  <c:v>Idioma Extranjero</c:v>
                </c:pt>
                <c:pt idx="8">
                  <c:v>Lectoescritura</c:v>
                </c:pt>
                <c:pt idx="9">
                  <c:v>Estadistica</c:v>
                </c:pt>
                <c:pt idx="10">
                  <c:v>Matematicas.</c:v>
                </c:pt>
                <c:pt idx="11">
                  <c:v>Informatica</c:v>
                </c:pt>
                <c:pt idx="12">
                  <c:v>Tecnologia</c:v>
                </c:pt>
                <c:pt idx="13">
                  <c:v>Educacion Religiosa Y Etica</c:v>
                </c:pt>
              </c:strCache>
            </c:strRef>
          </c:cat>
          <c:val>
            <c:numRef>
              <c:f>Hoja4!$C$2:$C$15</c:f>
              <c:numCache>
                <c:formatCode>General</c:formatCode>
                <c:ptCount val="14"/>
                <c:pt idx="0">
                  <c:v>9</c:v>
                </c:pt>
                <c:pt idx="1">
                  <c:v>15</c:v>
                </c:pt>
                <c:pt idx="2">
                  <c:v>5</c:v>
                </c:pt>
                <c:pt idx="3">
                  <c:v>1</c:v>
                </c:pt>
                <c:pt idx="4">
                  <c:v>4</c:v>
                </c:pt>
                <c:pt idx="5">
                  <c:v>3</c:v>
                </c:pt>
                <c:pt idx="6">
                  <c:v>12</c:v>
                </c:pt>
                <c:pt idx="7">
                  <c:v>10</c:v>
                </c:pt>
                <c:pt idx="8">
                  <c:v>13</c:v>
                </c:pt>
                <c:pt idx="9">
                  <c:v>14</c:v>
                </c:pt>
                <c:pt idx="10">
                  <c:v>7</c:v>
                </c:pt>
                <c:pt idx="11">
                  <c:v>11</c:v>
                </c:pt>
                <c:pt idx="12">
                  <c:v>11</c:v>
                </c:pt>
                <c:pt idx="1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FE-4ECC-9F18-4D6DBE9B33A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511313343"/>
        <c:axId val="511303263"/>
        <c:axId val="0"/>
      </c:bar3DChart>
      <c:catAx>
        <c:axId val="5113133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11303263"/>
        <c:crosses val="autoZero"/>
        <c:auto val="1"/>
        <c:lblAlgn val="ctr"/>
        <c:lblOffset val="100"/>
        <c:noMultiLvlLbl val="0"/>
      </c:catAx>
      <c:valAx>
        <c:axId val="511303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1131334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FF0000"/>
                </a:solidFill>
                <a:latin typeface="Tahoma"/>
                <a:ea typeface="Tahoma"/>
                <a:cs typeface="Tahoma"/>
              </a:defRPr>
            </a:pPr>
            <a:r>
              <a:rPr lang="es-CO"/>
              <a:t>% Por #ro de áreas Con logros pendientes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9863086786282867E-2"/>
          <c:y val="0.22336309200280574"/>
          <c:w val="0.82027382771183455"/>
          <c:h val="0.5987726933494335"/>
        </c:manualLayout>
      </c:layout>
      <c:pie3DChart>
        <c:varyColors val="1"/>
        <c:ser>
          <c:idx val="0"/>
          <c:order val="0"/>
          <c:tx>
            <c:strRef>
              <c:f>Estadisticas!$R$5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solidFill>
                <a:srgbClr val="4F81BD"/>
              </a:solidFill>
              <a:ln w="254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69F-4D73-A669-5B97149A57C8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254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69F-4D73-A669-5B97149A57C8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254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69F-4D73-A669-5B97149A57C8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254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69F-4D73-A669-5B97149A57C8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254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C69F-4D73-A669-5B97149A57C8}"/>
              </c:ext>
            </c:extLst>
          </c:dPt>
          <c:dPt>
            <c:idx val="5"/>
            <c:bubble3D val="0"/>
            <c:spPr>
              <a:solidFill>
                <a:srgbClr val="F79646"/>
              </a:solidFill>
              <a:ln w="254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C69F-4D73-A669-5B97149A57C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69F-4D73-A669-5B97149A57C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69F-4D73-A669-5B97149A57C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C69F-4D73-A669-5B97149A57C8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C69F-4D73-A669-5B97149A57C8}"/>
              </c:ext>
            </c:extLst>
          </c:dPt>
          <c:dLbls>
            <c:dLbl>
              <c:idx val="0"/>
              <c:layout>
                <c:manualLayout>
                  <c:x val="1.3932111098053042E-2"/>
                  <c:y val="-0.1137970533236061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9F-4D73-A669-5B97149A57C8}"/>
                </c:ext>
              </c:extLst>
            </c:dLbl>
            <c:dLbl>
              <c:idx val="1"/>
              <c:layout>
                <c:manualLayout>
                  <c:x val="6.3034923806166016E-2"/>
                  <c:y val="-7.857613644939749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69F-4D73-A669-5B97149A57C8}"/>
                </c:ext>
              </c:extLst>
            </c:dLbl>
            <c:dLbl>
              <c:idx val="2"/>
              <c:layout>
                <c:manualLayout>
                  <c:x val="4.3585811101970462E-2"/>
                  <c:y val="2.273485782328327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69F-4D73-A669-5B97149A57C8}"/>
                </c:ext>
              </c:extLst>
            </c:dLbl>
            <c:dLbl>
              <c:idx val="4"/>
              <c:layout>
                <c:manualLayout>
                  <c:x val="-8.0996493908410697E-2"/>
                  <c:y val="4.36859450076727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69F-4D73-A669-5B97149A57C8}"/>
                </c:ext>
              </c:extLst>
            </c:dLbl>
            <c:dLbl>
              <c:idx val="5"/>
              <c:layout>
                <c:manualLayout>
                  <c:x val="-7.3603635366474712E-2"/>
                  <c:y val="3.257410715034422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69F-4D73-A669-5B97149A57C8}"/>
                </c:ext>
              </c:extLst>
            </c:dLbl>
            <c:dLbl>
              <c:idx val="6"/>
              <c:layout>
                <c:manualLayout>
                  <c:x val="-7.6894464684451755E-2"/>
                  <c:y val="-5.899256203198242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69F-4D73-A669-5B97149A57C8}"/>
                </c:ext>
              </c:extLst>
            </c:dLbl>
            <c:dLbl>
              <c:idx val="7"/>
              <c:layout>
                <c:manualLayout>
                  <c:x val="-7.3324127394523445E-2"/>
                  <c:y val="-4.909025349467099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69F-4D73-A669-5B97149A57C8}"/>
                </c:ext>
              </c:extLst>
            </c:dLbl>
            <c:dLbl>
              <c:idx val="8"/>
              <c:layout>
                <c:manualLayout>
                  <c:x val="-4.0781819250205666E-2"/>
                  <c:y val="-5.470017525764551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69F-4D73-A669-5B97149A57C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Estadisticas!$P$6:$P$15</c:f>
              <c:strCach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strCache>
            </c:strRef>
          </c:cat>
          <c:val>
            <c:numRef>
              <c:f>Estadisticas!$R$6:$R$15</c:f>
              <c:numCache>
                <c:formatCode>0%</c:formatCode>
                <c:ptCount val="10"/>
                <c:pt idx="0">
                  <c:v>0.25714285714285712</c:v>
                </c:pt>
                <c:pt idx="1">
                  <c:v>0.11428571428571428</c:v>
                </c:pt>
                <c:pt idx="2">
                  <c:v>0.14285714285714285</c:v>
                </c:pt>
                <c:pt idx="3">
                  <c:v>0</c:v>
                </c:pt>
                <c:pt idx="4">
                  <c:v>5.7142857142857141E-2</c:v>
                </c:pt>
                <c:pt idx="5">
                  <c:v>8.5714285714285715E-2</c:v>
                </c:pt>
                <c:pt idx="6">
                  <c:v>0.11428571428571428</c:v>
                </c:pt>
                <c:pt idx="7">
                  <c:v>8.5714285714285715E-2</c:v>
                </c:pt>
                <c:pt idx="8">
                  <c:v>5.7142857142857141E-2</c:v>
                </c:pt>
                <c:pt idx="9">
                  <c:v>8.5714285714285715E-2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69F-4D73-A669-5B97149A5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135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Areas con logros pendientes por Estudiante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 w="25400">
              <a:noFill/>
            </a:ln>
          </c:spPr>
          <c:invertIfNegative val="0"/>
          <c:dLbls>
            <c:spPr>
              <a:noFill/>
              <a:ln>
                <a:solidFill>
                  <a:schemeClr val="accent1"/>
                </a:solidFill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 i="0" u="none" strike="noStrike" baseline="0">
                    <a:solidFill>
                      <a:srgbClr val="333333"/>
                    </a:solidFill>
                    <a:latin typeface="Tahoma"/>
                    <a:ea typeface="Tahoma"/>
                    <a:cs typeface="Tahoma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Estadisticas!$P$6:$P$15</c:f>
              <c:strCach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strCache>
            </c:strRef>
          </c:cat>
          <c:val>
            <c:numRef>
              <c:f>Estadisticas!$Q$6:$Q$15</c:f>
              <c:numCache>
                <c:formatCode>General</c:formatCode>
                <c:ptCount val="10"/>
                <c:pt idx="0">
                  <c:v>9</c:v>
                </c:pt>
                <c:pt idx="1">
                  <c:v>4</c:v>
                </c:pt>
                <c:pt idx="2">
                  <c:v>5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65-4D5F-A1C4-16677F39D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3645184"/>
        <c:axId val="244829200"/>
        <c:axId val="0"/>
      </c:bar3DChart>
      <c:catAx>
        <c:axId val="243645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44829200"/>
        <c:crosses val="autoZero"/>
        <c:auto val="1"/>
        <c:lblAlgn val="ctr"/>
        <c:lblOffset val="100"/>
        <c:noMultiLvlLbl val="0"/>
      </c:catAx>
      <c:valAx>
        <c:axId val="244829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436451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7977295896009486E-2"/>
          <c:y val="0.23950506186726658"/>
          <c:w val="0.9562464885210965"/>
          <c:h val="0.70337029299908949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13"/>
            <c:spPr>
              <a:solidFill>
                <a:sysClr val="window" lastClr="FFFFFF"/>
              </a:solidFill>
              <a:ln w="25400">
                <a:solidFill>
                  <a:srgbClr val="FF0000"/>
                </a:solidFill>
              </a:ln>
              <a:effectLst/>
              <a:sp3d contourW="25400">
                <a:contourClr>
                  <a:srgbClr val="FF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853-4490-B111-6CC13652C250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rgbClr val="FF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853-4490-B111-6CC13652C250}"/>
              </c:ext>
            </c:extLst>
          </c:dPt>
          <c:dLbls>
            <c:dLbl>
              <c:idx val="0"/>
              <c:layout>
                <c:manualLayout>
                  <c:x val="-0.16250584669886387"/>
                  <c:y val="-7.234309996964673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333333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53-4490-B111-6CC13652C250}"/>
                </c:ext>
              </c:extLst>
            </c:dLbl>
            <c:dLbl>
              <c:idx val="1"/>
              <c:layout>
                <c:manualLayout>
                  <c:x val="0.14088519251438034"/>
                  <c:y val="1.516596139768243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400" b="1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853-4490-B111-6CC13652C25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 i="0" u="none" strike="noStrike" baseline="0">
                    <a:solidFill>
                      <a:srgbClr val="333333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Hoja2!$M$26:$M$27</c:f>
              <c:numCache>
                <c:formatCode>0%</c:formatCode>
                <c:ptCount val="2"/>
                <c:pt idx="0">
                  <c:v>0.51428571428571423</c:v>
                </c:pt>
                <c:pt idx="1">
                  <c:v>0.48571428571428571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53-4490-B111-6CC13652C2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250000000000003E-2"/>
          <c:y val="5.5555555555555552E-2"/>
          <c:w val="0.88541666666666663"/>
          <c:h val="0.809027777777777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Hoja1!$C$3</c:f>
              <c:strCache>
                <c:ptCount val="1"/>
                <c:pt idx="0">
                  <c:v># Estudiantes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solidFill>
                <a:srgbClr val="FF0000"/>
              </a:solidFill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Hoja1!$B$4:$B$13</c:f>
              <c:strCach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strCache>
            </c:strRef>
          </c:cat>
          <c:val>
            <c:numRef>
              <c:f>Hoja1!$C$4:$C$13</c:f>
              <c:numCache>
                <c:formatCode>General</c:formatCode>
                <c:ptCount val="10"/>
                <c:pt idx="0">
                  <c:v>11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3B-411A-8FB2-A447B78EC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830376"/>
        <c:axId val="244830768"/>
      </c:barChart>
      <c:catAx>
        <c:axId val="244830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44830768"/>
        <c:crosses val="autoZero"/>
        <c:auto val="1"/>
        <c:lblAlgn val="ctr"/>
        <c:lblOffset val="100"/>
        <c:noMultiLvlLbl val="0"/>
      </c:catAx>
      <c:valAx>
        <c:axId val="2448307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4483037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69C-4DD8-8785-0EF7842A591B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2-669C-4DD8-8785-0EF7842A591B}"/>
              </c:ext>
            </c:extLst>
          </c:dPt>
          <c:dLbls>
            <c:dLbl>
              <c:idx val="0"/>
              <c:layout>
                <c:manualLayout>
                  <c:x val="-6.4477909011373583E-2"/>
                  <c:y val="0.14930555555555555"/>
                </c:manualLayout>
              </c:layout>
              <c:spPr/>
              <c:txPr>
                <a:bodyPr/>
                <a:lstStyle/>
                <a:p>
                  <a:pPr>
                    <a:defRPr sz="2000" b="0" i="0" u="none" strike="noStrike" baseline="0">
                      <a:solidFill>
                        <a:srgbClr val="FFFFFF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69C-4DD8-8785-0EF7842A591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Hoja1!$C$25:$C$26</c:f>
              <c:numCache>
                <c:formatCode>0%</c:formatCode>
                <c:ptCount val="2"/>
                <c:pt idx="0">
                  <c:v>0.44</c:v>
                </c:pt>
                <c:pt idx="1">
                  <c:v>0.56000000000000005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9C-4DD8-8785-0EF7842A5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explosion val="15"/>
            <c:extLst>
              <c:ext xmlns:c16="http://schemas.microsoft.com/office/drawing/2014/chart" uri="{C3380CC4-5D6E-409C-BE32-E72D297353CC}">
                <c16:uniqueId val="{00000000-A706-41BA-BDB7-7E65B2396F1A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2-A706-41BA-BDB7-7E65B2396F1A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4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Hoja1!$C$40:$C$41</c:f>
              <c:numCache>
                <c:formatCode>0%</c:formatCode>
                <c:ptCount val="2"/>
                <c:pt idx="0">
                  <c:v>0.64</c:v>
                </c:pt>
                <c:pt idx="1">
                  <c:v>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06-41BA-BDB7-7E65B2396F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Aprobados y Reprobados</a:t>
            </a:r>
          </a:p>
        </c:rich>
      </c:tx>
      <c:overlay val="0"/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889788359308028"/>
          <c:y val="0.1781474750262988"/>
          <c:w val="0.65338730155848168"/>
          <c:h val="0.73159229744133369"/>
        </c:manualLayout>
      </c:layout>
      <c:pie3DChart>
        <c:varyColors val="1"/>
        <c:ser>
          <c:idx val="0"/>
          <c:order val="0"/>
          <c:tx>
            <c:strRef>
              <c:f>'Informe 6-5'!$C$26</c:f>
              <c:strCache>
                <c:ptCount val="1"/>
                <c:pt idx="0">
                  <c:v>cantidad de materias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F7A-4996-9104-668BA48FDDF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F7A-4996-9104-668BA48FDDF6}"/>
              </c:ext>
            </c:extLst>
          </c:dPt>
          <c:dLbls>
            <c:dLbl>
              <c:idx val="0"/>
              <c:layout>
                <c:manualLayout>
                  <c:x val="0.13017187592586782"/>
                  <c:y val="5.3799150677700915E-3"/>
                </c:manualLayout>
              </c:layout>
              <c:spPr/>
              <c:txPr>
                <a:bodyPr/>
                <a:lstStyle/>
                <a:p>
                  <a:pPr>
                    <a:defRPr sz="1800" b="0" i="0" u="none" strike="noStrike" baseline="0">
                      <a:solidFill>
                        <a:srgbClr val="FF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7A-4996-9104-668BA48FDDF6}"/>
                </c:ext>
              </c:extLst>
            </c:dLbl>
            <c:dLbl>
              <c:idx val="1"/>
              <c:layout>
                <c:manualLayout>
                  <c:x val="-4.617470624936823E-2"/>
                  <c:y val="-1.1805665660826137E-2"/>
                </c:manualLayout>
              </c:layout>
              <c:spPr/>
              <c:txPr>
                <a:bodyPr/>
                <a:lstStyle/>
                <a:p>
                  <a:pPr>
                    <a:defRPr sz="1800" b="0" i="0" u="none" strike="noStrike" baseline="0">
                      <a:solidFill>
                        <a:srgbClr val="FF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7A-4996-9104-668BA48FDDF6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800" b="0" i="0" u="none" strike="noStrike" baseline="0">
                    <a:solidFill>
                      <a:srgbClr val="FF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'Informe 6-5'!$B$27:$B$28</c:f>
              <c:strCache>
                <c:ptCount val="2"/>
                <c:pt idx="0">
                  <c:v>Aprobando</c:v>
                </c:pt>
                <c:pt idx="1">
                  <c:v>Reprobando</c:v>
                </c:pt>
              </c:strCache>
            </c:strRef>
          </c:cat>
          <c:val>
            <c:numRef>
              <c:f>'Informe 6-5'!$C$27:$C$28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7A-4996-9104-668BA48FD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985503306110634"/>
          <c:y val="0.49406225646972274"/>
          <c:w val="0.11819403052706057"/>
          <c:h val="0.11401450115647654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% Aprobados y Reprobados</a:t>
            </a:r>
          </a:p>
        </c:rich>
      </c:tx>
      <c:overlay val="0"/>
    </c:title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814898539417132E-2"/>
          <c:y val="0.22807066387117914"/>
          <c:w val="0.600529876263171"/>
          <c:h val="0.62061536418792018"/>
        </c:manualLayout>
      </c:layout>
      <c:pie3DChart>
        <c:varyColors val="1"/>
        <c:ser>
          <c:idx val="0"/>
          <c:order val="0"/>
          <c:tx>
            <c:strRef>
              <c:f>'Informe 6-5'!$D$26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99F-4066-9454-6FBA7A9CDD4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A99F-4066-9454-6FBA7A9CDD48}"/>
              </c:ext>
            </c:extLst>
          </c:dPt>
          <c:dLbls>
            <c:dLbl>
              <c:idx val="0"/>
              <c:layout>
                <c:manualLayout>
                  <c:x val="9.5166298657112305E-2"/>
                  <c:y val="-4.593538340834151E-2"/>
                </c:manualLayout>
              </c:layout>
              <c:spPr/>
              <c:txPr>
                <a:bodyPr/>
                <a:lstStyle/>
                <a:p>
                  <a:pPr>
                    <a:defRPr sz="2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9F-4066-9454-6FBA7A9CDD48}"/>
                </c:ext>
              </c:extLst>
            </c:dLbl>
            <c:dLbl>
              <c:idx val="1"/>
              <c:layout>
                <c:manualLayout>
                  <c:x val="-0.11331625213514977"/>
                  <c:y val="4.8868331490204989E-2"/>
                </c:manualLayout>
              </c:layout>
              <c:spPr/>
              <c:txPr>
                <a:bodyPr/>
                <a:lstStyle/>
                <a:p>
                  <a:pPr>
                    <a:defRPr sz="2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CO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9F-4066-9454-6FBA7A9CDD48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'Informe 6-5'!$B$27:$B$28</c:f>
              <c:strCache>
                <c:ptCount val="2"/>
                <c:pt idx="0">
                  <c:v>Aprobando</c:v>
                </c:pt>
                <c:pt idx="1">
                  <c:v>Reprobando</c:v>
                </c:pt>
              </c:strCache>
            </c:strRef>
          </c:cat>
          <c:val>
            <c:numRef>
              <c:f>'Informe 6-5'!$D$27:$D$28</c:f>
              <c:numCache>
                <c:formatCode>0%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9F-4066-9454-6FBA7A9CDD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2090044300018052"/>
          <c:y val="0.43640442970944415"/>
          <c:w val="0.9894192392617589"/>
          <c:h val="0.64035225859925393"/>
        </c:manualLayout>
      </c:layout>
      <c:overlay val="0"/>
      <c:txPr>
        <a:bodyPr/>
        <a:lstStyle/>
        <a:p>
          <a:pPr>
            <a:defRPr sz="202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'informe PARCIAL 1 periodo (2)'!$AO$6</c:f>
              <c:strCache>
                <c:ptCount val="1"/>
                <c:pt idx="0">
                  <c:v># de estudiantes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'informe PARCIAL 1 periodo (2)'!$AN$7:$AN$21</c:f>
              <c:strCache>
                <c:ptCount val="1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</c:strCache>
            </c:strRef>
          </c:cat>
          <c:val>
            <c:numRef>
              <c:f>'informe PARCIAL 1 periodo (2)'!$AO$7:$AO$21</c:f>
              <c:numCache>
                <c:formatCode>General</c:formatCode>
                <c:ptCount val="15"/>
                <c:pt idx="0">
                  <c:v>7</c:v>
                </c:pt>
                <c:pt idx="1">
                  <c:v>4</c:v>
                </c:pt>
                <c:pt idx="2">
                  <c:v>4</c:v>
                </c:pt>
                <c:pt idx="3">
                  <c:v>3</c:v>
                </c:pt>
                <c:pt idx="4">
                  <c:v>3</c:v>
                </c:pt>
                <c:pt idx="5">
                  <c:v>7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20-4A44-A28F-A5217C873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20907328"/>
        <c:axId val="2019334960"/>
        <c:axId val="0"/>
      </c:bar3DChart>
      <c:catAx>
        <c:axId val="1820907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19334960"/>
        <c:crosses val="autoZero"/>
        <c:auto val="1"/>
        <c:lblAlgn val="ctr"/>
        <c:lblOffset val="100"/>
        <c:noMultiLvlLbl val="0"/>
      </c:catAx>
      <c:valAx>
        <c:axId val="2019334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820907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CO" sz="1800" b="1" i="0" baseline="0">
                <a:effectLst/>
              </a:rPr>
              <a:t>Cantidad de estudiantes con logros pendientes por materia</a:t>
            </a:r>
            <a:endParaRPr lang="es-CO">
              <a:effectLst/>
            </a:endParaRPr>
          </a:p>
        </c:rich>
      </c:tx>
      <c:layout>
        <c:manualLayout>
          <c:xMode val="edge"/>
          <c:yMode val="edge"/>
          <c:x val="0.18699049339380297"/>
          <c:y val="3.08880267144949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Hoja5!$D$2</c:f>
              <c:strCache>
                <c:ptCount val="1"/>
                <c:pt idx="0">
                  <c:v># DE ESTUDIANTES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dLbl>
              <c:idx val="0"/>
              <c:layout>
                <c:manualLayout>
                  <c:x val="0"/>
                  <c:y val="-8.11433722651140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E6F-44A8-A53B-65FD639E45BC}"/>
                </c:ext>
              </c:extLst>
            </c:dLbl>
            <c:dLbl>
              <c:idx val="1"/>
              <c:layout>
                <c:manualLayout>
                  <c:x val="0"/>
                  <c:y val="-0.151221739221348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6F-44A8-A53B-65FD639E45BC}"/>
                </c:ext>
              </c:extLst>
            </c:dLbl>
            <c:dLbl>
              <c:idx val="2"/>
              <c:layout>
                <c:manualLayout>
                  <c:x val="-3.1869833198694116E-17"/>
                  <c:y val="-3.68833510295972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E6F-44A8-A53B-65FD639E45BC}"/>
                </c:ext>
              </c:extLst>
            </c:dLbl>
            <c:dLbl>
              <c:idx val="3"/>
              <c:layout>
                <c:manualLayout>
                  <c:x val="-6.3739666397388232E-17"/>
                  <c:y val="-4.42600212355168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E6F-44A8-A53B-65FD639E45BC}"/>
                </c:ext>
              </c:extLst>
            </c:dLbl>
            <c:dLbl>
              <c:idx val="4"/>
              <c:layout>
                <c:manualLayout>
                  <c:x val="1.738374619730552E-3"/>
                  <c:y val="-6.63900318532751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E6F-44A8-A53B-65FD639E45BC}"/>
                </c:ext>
              </c:extLst>
            </c:dLbl>
            <c:dLbl>
              <c:idx val="5"/>
              <c:layout>
                <c:manualLayout>
                  <c:x val="1.738374619730552E-3"/>
                  <c:y val="-5.16366914414362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E6F-44A8-A53B-65FD639E45BC}"/>
                </c:ext>
              </c:extLst>
            </c:dLbl>
            <c:dLbl>
              <c:idx val="7"/>
              <c:layout>
                <c:manualLayout>
                  <c:x val="1.738374619730552E-3"/>
                  <c:y val="-0.1438450690154294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E6F-44A8-A53B-65FD639E45BC}"/>
                </c:ext>
              </c:extLst>
            </c:dLbl>
            <c:dLbl>
              <c:idx val="8"/>
              <c:layout>
                <c:manualLayout>
                  <c:x val="5.2151238591916557E-3"/>
                  <c:y val="-0.1991700955598253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E6F-44A8-A53B-65FD639E45BC}"/>
                </c:ext>
              </c:extLst>
            </c:dLbl>
            <c:dLbl>
              <c:idx val="9"/>
              <c:layout>
                <c:manualLayout>
                  <c:x val="1.738374619730552E-3"/>
                  <c:y val="-0.1217150583976710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E6F-44A8-A53B-65FD639E45BC}"/>
                </c:ext>
              </c:extLst>
            </c:dLbl>
            <c:dLbl>
              <c:idx val="10"/>
              <c:layout>
                <c:manualLayout>
                  <c:x val="5.2151238591916557E-3"/>
                  <c:y val="-0.1327800637065502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E6F-44A8-A53B-65FD639E45BC}"/>
                </c:ext>
              </c:extLst>
            </c:dLbl>
            <c:dLbl>
              <c:idx val="11"/>
              <c:layout>
                <c:manualLayout>
                  <c:x val="1.738374619730552E-3"/>
                  <c:y val="-0.151221739221348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E6F-44A8-A53B-65FD639E45BC}"/>
                </c:ext>
              </c:extLst>
            </c:dLbl>
            <c:dLbl>
              <c:idx val="12"/>
              <c:layout>
                <c:manualLayout>
                  <c:x val="1.738374619730552E-3"/>
                  <c:y val="-0.1364683988095099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E6F-44A8-A53B-65FD639E45BC}"/>
                </c:ext>
              </c:extLst>
            </c:dLbl>
            <c:dLbl>
              <c:idx val="13"/>
              <c:layout>
                <c:manualLayout>
                  <c:x val="5.2151238591915281E-3"/>
                  <c:y val="-0.110650053088791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E6F-44A8-A53B-65FD639E45BC}"/>
                </c:ext>
              </c:extLst>
            </c:dLbl>
            <c:spPr>
              <a:solidFill>
                <a:srgbClr val="FF0000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Hoja5!$C$3:$C$16</c:f>
              <c:strCache>
                <c:ptCount val="14"/>
                <c:pt idx="0">
                  <c:v>Ciencias Naturales</c:v>
                </c:pt>
                <c:pt idx="1">
                  <c:v>Ciencias De La Investigacion</c:v>
                </c:pt>
                <c:pt idx="2">
                  <c:v>Sociales</c:v>
                </c:pt>
                <c:pt idx="3">
                  <c:v>Historia de Colombia</c:v>
                </c:pt>
                <c:pt idx="4">
                  <c:v>Educación Artistica Y Cultural</c:v>
                </c:pt>
                <c:pt idx="5">
                  <c:v>Educación Física, Recreación Y Deportes</c:v>
                </c:pt>
                <c:pt idx="6">
                  <c:v>Lengua Castellana</c:v>
                </c:pt>
                <c:pt idx="7">
                  <c:v>Idioma Extranjero</c:v>
                </c:pt>
                <c:pt idx="8">
                  <c:v>Lectoescritura</c:v>
                </c:pt>
                <c:pt idx="9">
                  <c:v>Estadistica</c:v>
                </c:pt>
                <c:pt idx="10">
                  <c:v>Matematicas.</c:v>
                </c:pt>
                <c:pt idx="11">
                  <c:v>Informatica</c:v>
                </c:pt>
                <c:pt idx="12">
                  <c:v>Tecnologia</c:v>
                </c:pt>
                <c:pt idx="13">
                  <c:v>Educacion Religiosa Y Etica</c:v>
                </c:pt>
              </c:strCache>
            </c:strRef>
          </c:cat>
          <c:val>
            <c:numRef>
              <c:f>Hoja5!$D$3:$D$16</c:f>
              <c:numCache>
                <c:formatCode>General</c:formatCode>
                <c:ptCount val="14"/>
                <c:pt idx="0">
                  <c:v>6</c:v>
                </c:pt>
                <c:pt idx="1">
                  <c:v>13</c:v>
                </c:pt>
                <c:pt idx="2">
                  <c:v>12</c:v>
                </c:pt>
                <c:pt idx="3">
                  <c:v>12</c:v>
                </c:pt>
                <c:pt idx="4">
                  <c:v>5</c:v>
                </c:pt>
                <c:pt idx="5">
                  <c:v>4</c:v>
                </c:pt>
                <c:pt idx="6">
                  <c:v>0</c:v>
                </c:pt>
                <c:pt idx="7">
                  <c:v>14</c:v>
                </c:pt>
                <c:pt idx="8">
                  <c:v>19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13</c:v>
                </c:pt>
                <c:pt idx="1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6F-44A8-A53B-65FD639E4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997005056"/>
        <c:axId val="2019362320"/>
        <c:axId val="0"/>
      </c:bar3DChart>
      <c:catAx>
        <c:axId val="1997005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019362320"/>
        <c:crosses val="autoZero"/>
        <c:auto val="1"/>
        <c:lblAlgn val="ctr"/>
        <c:lblOffset val="100"/>
        <c:noMultiLvlLbl val="0"/>
      </c:catAx>
      <c:valAx>
        <c:axId val="201936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9970050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/>
              <a:t>% por Área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'informe Final 2 periodo'!$AK$6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explosion val="10"/>
            <c:spPr>
              <a:solidFill>
                <a:srgbClr val="92D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E40-442E-91E4-48815E4D3CAE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436-40FA-82A9-C564929AF0A1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9436-40FA-82A9-C564929AF0A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9436-40FA-82A9-C564929AF0A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9436-40FA-82A9-C564929AF0A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9436-40FA-82A9-C564929AF0A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9436-40FA-82A9-C564929AF0A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9436-40FA-82A9-C564929AF0A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9436-40FA-82A9-C564929AF0A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'informe Final 2 periodo'!$AI$7:$AI$15</c:f>
              <c:strCach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strCache>
            </c:strRef>
          </c:cat>
          <c:val>
            <c:numRef>
              <c:f>'informe Final 2 periodo'!$AK$7:$AK$15</c:f>
              <c:numCache>
                <c:formatCode>0%</c:formatCode>
                <c:ptCount val="9"/>
                <c:pt idx="0">
                  <c:v>0.22222222222222221</c:v>
                </c:pt>
                <c:pt idx="1">
                  <c:v>0.18518518518518517</c:v>
                </c:pt>
                <c:pt idx="2">
                  <c:v>0.14814814814814814</c:v>
                </c:pt>
                <c:pt idx="3">
                  <c:v>0.14814814814814814</c:v>
                </c:pt>
                <c:pt idx="4">
                  <c:v>0.14814814814814814</c:v>
                </c:pt>
                <c:pt idx="5">
                  <c:v>0.1111111111111111</c:v>
                </c:pt>
                <c:pt idx="6">
                  <c:v>3.7037037037037035E-2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40-442E-91E4-48815E4D3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'informe Final 2 periodo'!$AQ$6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solidFill>
                <a:srgbClr val="92D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6DF-485F-ADDC-7B99CD3439D4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A6DF-485F-ADDC-7B99CD3439D4}"/>
              </c:ext>
            </c:extLst>
          </c:dPt>
          <c:dLbls>
            <c:dLbl>
              <c:idx val="0"/>
              <c:layout>
                <c:manualLayout>
                  <c:x val="0.12710012246162888"/>
                  <c:y val="-9.508388262722836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DF-485F-ADDC-7B99CD3439D4}"/>
                </c:ext>
              </c:extLst>
            </c:dLbl>
            <c:dLbl>
              <c:idx val="1"/>
              <c:layout>
                <c:manualLayout>
                  <c:x val="-0.10173054021622011"/>
                  <c:y val="-1.93751971923226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6DF-485F-ADDC-7B99CD3439D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3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'informe Final 2 periodo'!$AO$7:$AO$8</c:f>
              <c:strCache>
                <c:ptCount val="2"/>
                <c:pt idx="0">
                  <c:v>No tienen logros pendiente</c:v>
                </c:pt>
                <c:pt idx="1">
                  <c:v>Tienen logros pendientes</c:v>
                </c:pt>
              </c:strCache>
            </c:strRef>
          </c:cat>
          <c:val>
            <c:numRef>
              <c:f>'informe Final 2 periodo'!$AQ$7:$AQ$8</c:f>
              <c:numCache>
                <c:formatCode>0%</c:formatCode>
                <c:ptCount val="2"/>
                <c:pt idx="0">
                  <c:v>0.22222222222222221</c:v>
                </c:pt>
                <c:pt idx="1">
                  <c:v>0.77777777777777779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DF-485F-ADDC-7B99CD343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cap="all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Cantidad de estudiantes con logros pendientes por Area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cap="all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solidFill>
          <a:schemeClr val="bg2">
            <a:lumMod val="75000"/>
            <a:alpha val="27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'informe Final 2 periodo'!$AJ$6</c:f>
              <c:strCache>
                <c:ptCount val="1"/>
                <c:pt idx="0">
                  <c:v>Areas Reprobadas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chemeClr val="accent1">
                  <a:lumMod val="50000"/>
                </a:schemeClr>
              </a:solidFill>
            </a:ln>
            <a:effectLst/>
            <a:scene3d>
              <a:camera prst="orthographicFront"/>
              <a:lightRig rig="threePt" dir="t"/>
            </a:scene3d>
            <a:sp3d prstMaterial="flat">
              <a:contourClr>
                <a:schemeClr val="accent1">
                  <a:lumMod val="50000"/>
                </a:schemeClr>
              </a:contourClr>
            </a:sp3d>
          </c:spPr>
          <c:invertIfNegative val="0"/>
          <c:dLbls>
            <c:spPr>
              <a:solidFill>
                <a:schemeClr val="accent1">
                  <a:alpha val="30000"/>
                </a:schemeClr>
              </a:solidFill>
              <a:ln>
                <a:solidFill>
                  <a:schemeClr val="lt1">
                    <a:alpha val="50000"/>
                  </a:schemeClr>
                </a:solidFill>
                <a:round/>
              </a:ln>
              <a:effectLst>
                <a:outerShdw blurRad="63500" dist="889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2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'informe Final 2 periodo'!$AI$7:$AI$15</c:f>
              <c:strCache>
                <c:ptCount val="9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</c:strCache>
            </c:strRef>
          </c:cat>
          <c:val>
            <c:numRef>
              <c:f>'informe Final 2 periodo'!$AJ$7:$AJ$15</c:f>
              <c:numCache>
                <c:formatCode>General</c:formatCode>
                <c:ptCount val="9"/>
                <c:pt idx="0">
                  <c:v>6</c:v>
                </c:pt>
                <c:pt idx="1">
                  <c:v>5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E6-4B45-B058-C87853FC172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84"/>
        <c:gapDepth val="53"/>
        <c:shape val="box"/>
        <c:axId val="284656847"/>
        <c:axId val="284667407"/>
        <c:axId val="0"/>
      </c:bar3DChart>
      <c:catAx>
        <c:axId val="284656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284667407"/>
        <c:crosses val="autoZero"/>
        <c:auto val="1"/>
        <c:lblAlgn val="ctr"/>
        <c:lblOffset val="100"/>
        <c:noMultiLvlLbl val="0"/>
      </c:catAx>
      <c:valAx>
        <c:axId val="284667407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2846568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dk1">
        <a:lumMod val="75000"/>
        <a:lumOff val="25000"/>
      </a:schemeClr>
    </a:solidFill>
    <a:ln w="6350" cap="flat" cmpd="sng" algn="ctr">
      <a:solidFill>
        <a:schemeClr val="dk1">
          <a:tint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1.3888888888888889E-3"/>
          <c:y val="0.17837780694079905"/>
          <c:w val="0.90694444444444444"/>
          <c:h val="0.68590587634878986"/>
        </c:manualLayout>
      </c:layout>
      <c:pie3DChart>
        <c:varyColors val="1"/>
        <c:ser>
          <c:idx val="0"/>
          <c:order val="0"/>
          <c:tx>
            <c:strRef>
              <c:f>Informe!$D$1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solidFill>
                <a:schemeClr val="accent3">
                  <a:lumMod val="7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D28-44C6-B6BC-1D9EC4C57C39}"/>
              </c:ext>
            </c:extLst>
          </c:dPt>
          <c:dPt>
            <c:idx val="1"/>
            <c:bubble3D val="0"/>
            <c:spPr>
              <a:solidFill>
                <a:schemeClr val="accent5">
                  <a:lumMod val="75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CD28-44C6-B6BC-1D9EC4C57C39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D28-44C6-B6BC-1D9EC4C57C39}"/>
              </c:ext>
            </c:extLst>
          </c:dPt>
          <c:dPt>
            <c:idx val="3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CD28-44C6-B6BC-1D9EC4C57C39}"/>
              </c:ext>
            </c:extLst>
          </c:dPt>
          <c:dLbls>
            <c:dLbl>
              <c:idx val="0"/>
              <c:layout>
                <c:manualLayout>
                  <c:x val="5.1637685914260718E-2"/>
                  <c:y val="-6.30941965587634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D28-44C6-B6BC-1D9EC4C57C39}"/>
                </c:ext>
              </c:extLst>
            </c:dLbl>
            <c:dLbl>
              <c:idx val="1"/>
              <c:layout>
                <c:manualLayout>
                  <c:x val="0.18834474958922817"/>
                  <c:y val="-5.44491266817762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28-44C6-B6BC-1D9EC4C57C39}"/>
                </c:ext>
              </c:extLst>
            </c:dLbl>
            <c:dLbl>
              <c:idx val="2"/>
              <c:layout>
                <c:manualLayout>
                  <c:x val="5.37225529735612E-3"/>
                  <c:y val="-0.1649324956475254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28-44C6-B6BC-1D9EC4C57C39}"/>
                </c:ext>
              </c:extLst>
            </c:dLbl>
            <c:dLbl>
              <c:idx val="3"/>
              <c:layout>
                <c:manualLayout>
                  <c:x val="-4.7831911636045492E-2"/>
                  <c:y val="-3.56470545348498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D28-44C6-B6BC-1D9EC4C57C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Informe!$B$2:$B$5</c:f>
              <c:strCache>
                <c:ptCount val="4"/>
                <c:pt idx="0">
                  <c:v>Superior</c:v>
                </c:pt>
                <c:pt idx="1">
                  <c:v>Alta</c:v>
                </c:pt>
                <c:pt idx="2">
                  <c:v>Basico</c:v>
                </c:pt>
                <c:pt idx="3">
                  <c:v>Bajo</c:v>
                </c:pt>
              </c:strCache>
            </c:strRef>
          </c:cat>
          <c:val>
            <c:numRef>
              <c:f>Informe!$D$2:$D$5</c:f>
              <c:numCache>
                <c:formatCode>0%</c:formatCode>
                <c:ptCount val="4"/>
                <c:pt idx="0">
                  <c:v>0.35714285714285715</c:v>
                </c:pt>
                <c:pt idx="1">
                  <c:v>0.14285714285714285</c:v>
                </c:pt>
                <c:pt idx="2">
                  <c:v>0.35714285714285715</c:v>
                </c:pt>
                <c:pt idx="3">
                  <c:v>0.14285714285714285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28-44C6-B6BC-1D9EC4C57C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1">
  <cs:axisTitle>
    <cs:lnRef idx="0"/>
    <cs:fillRef idx="0"/>
    <cs:effectRef idx="0"/>
    <cs:fontRef idx="minor">
      <a:schemeClr val="lt1">
        <a:lumMod val="75000"/>
      </a:schemeClr>
    </cs:fontRef>
    <cs:defRPr sz="900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6350" cap="flat" cmpd="sng" algn="ctr">
        <a:solidFill>
          <a:schemeClr val="dk1">
            <a:tint val="75000"/>
          </a:schemeClr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</cs:dataLabel>
  <cs:dataLabelCallout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30000"/>
        </a:schemeClr>
      </a:solidFill>
      <a:ln>
        <a:solidFill>
          <a:schemeClr val="lt1">
            <a:alpha val="50000"/>
          </a:schemeClr>
        </a:solidFill>
        <a:round/>
      </a:ln>
      <a:effectLst>
        <a:outerShdw blurRad="63500" dist="88900" dir="2700000" algn="tl" rotWithShape="0">
          <a:prstClr val="black">
            <a:alpha val="40000"/>
          </a:prstClr>
        </a:outerShdw>
      </a:effectLst>
    </cs:spPr>
    <cs:defRPr sz="9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>
          <a:alpha val="88000"/>
        </a:schemeClr>
      </a:solidFill>
      <a:ln>
        <a:solidFill>
          <a:schemeClr val="phClr">
            <a:lumMod val="50000"/>
          </a:schemeClr>
        </a:solidFill>
      </a:ln>
      <a:scene3d>
        <a:camera prst="orthographicFront"/>
        <a:lightRig rig="threePt" dir="t"/>
      </a:scene3d>
      <a:sp3d prstMaterial="flat"/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dk1">
            <a:lumMod val="75000"/>
            <a:lumOff val="25000"/>
          </a:schemeClr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solidFill>
        <a:schemeClr val="bg2">
          <a:lumMod val="75000"/>
          <a:alpha val="27000"/>
        </a:schemeClr>
      </a:solidFill>
      <a:sp3d/>
    </cs:spPr>
  </cs:floor>
  <cs:gridlineMajor>
    <cs:lnRef idx="0"/>
    <cs:fillRef idx="0"/>
    <cs:effectRef idx="0"/>
    <cs:fontRef idx="minor">
      <a:schemeClr val="tx1"/>
    </cs:fontRef>
    <cs:spPr>
      <a:ln w="9525">
        <a:solidFill>
          <a:schemeClr val="lt1">
            <a:lumMod val="50000"/>
          </a:schemeClr>
        </a:solidFill>
      </a:ln>
    </cs:spPr>
  </cs:gridlineMajor>
  <cs:gridlineMinor>
    <cs:lnRef idx="0"/>
    <cs:fillRef idx="0"/>
    <cs:effectRef idx="0"/>
    <cs:fontRef idx="minor">
      <a:schemeClr val="tx1"/>
    </cs:fontRef>
    <cs:spPr>
      <a:ln w="9525">
        <a:solidFill>
          <a:schemeClr val="lt1">
            <a:lumMod val="40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/>
    </cs:fontRef>
    <cs:defRPr sz="1800" b="0" kern="1200" cap="all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sp3d/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94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/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dk1">
            <a:lumMod val="60000"/>
            <a:lumOff val="4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/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</xdr:row>
      <xdr:rowOff>28575</xdr:rowOff>
    </xdr:from>
    <xdr:to>
      <xdr:col>13</xdr:col>
      <xdr:colOff>352425</xdr:colOff>
      <xdr:row>21</xdr:row>
      <xdr:rowOff>114300</xdr:rowOff>
    </xdr:to>
    <xdr:graphicFrame macro="">
      <xdr:nvGraphicFramePr>
        <xdr:cNvPr id="1995887" name="3 Gráfico">
          <a:extLst>
            <a:ext uri="{FF2B5EF4-FFF2-40B4-BE49-F238E27FC236}">
              <a16:creationId xmlns:a16="http://schemas.microsoft.com/office/drawing/2014/main" id="{00000000-0008-0000-0000-00006F741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228600</xdr:colOff>
      <xdr:row>24</xdr:row>
      <xdr:rowOff>180975</xdr:rowOff>
    </xdr:from>
    <xdr:to>
      <xdr:col>13</xdr:col>
      <xdr:colOff>542925</xdr:colOff>
      <xdr:row>45</xdr:row>
      <xdr:rowOff>152400</xdr:rowOff>
    </xdr:to>
    <xdr:graphicFrame macro="">
      <xdr:nvGraphicFramePr>
        <xdr:cNvPr id="1995888" name="4 Gráfico">
          <a:extLst>
            <a:ext uri="{FF2B5EF4-FFF2-40B4-BE49-F238E27FC236}">
              <a16:creationId xmlns:a16="http://schemas.microsoft.com/office/drawing/2014/main" id="{00000000-0008-0000-0000-000070741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228600</xdr:colOff>
      <xdr:row>47</xdr:row>
      <xdr:rowOff>171450</xdr:rowOff>
    </xdr:from>
    <xdr:to>
      <xdr:col>13</xdr:col>
      <xdr:colOff>571500</xdr:colOff>
      <xdr:row>70</xdr:row>
      <xdr:rowOff>133350</xdr:rowOff>
    </xdr:to>
    <xdr:graphicFrame macro="">
      <xdr:nvGraphicFramePr>
        <xdr:cNvPr id="1995889" name="5 Gráfico">
          <a:extLst>
            <a:ext uri="{FF2B5EF4-FFF2-40B4-BE49-F238E27FC236}">
              <a16:creationId xmlns:a16="http://schemas.microsoft.com/office/drawing/2014/main" id="{00000000-0008-0000-0000-000071741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1116330</xdr:colOff>
      <xdr:row>28</xdr:row>
      <xdr:rowOff>70486</xdr:rowOff>
    </xdr:from>
    <xdr:to>
      <xdr:col>2</xdr:col>
      <xdr:colOff>1106876</xdr:colOff>
      <xdr:row>28</xdr:row>
      <xdr:rowOff>116205</xdr:rowOff>
    </xdr:to>
    <xdr:sp macro="" textlink="">
      <xdr:nvSpPr>
        <xdr:cNvPr id="5" name="4 Flecha derecha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885950" y="5450206"/>
          <a:ext cx="1285875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s-CO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95249</xdr:colOff>
      <xdr:row>2</xdr:row>
      <xdr:rowOff>223837</xdr:rowOff>
    </xdr:from>
    <xdr:to>
      <xdr:col>14</xdr:col>
      <xdr:colOff>742950</xdr:colOff>
      <xdr:row>15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6157EB0-B452-8139-8FCB-5C5C818140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2</xdr:row>
      <xdr:rowOff>38100</xdr:rowOff>
    </xdr:from>
    <xdr:to>
      <xdr:col>8</xdr:col>
      <xdr:colOff>619125</xdr:colOff>
      <xdr:row>20</xdr:row>
      <xdr:rowOff>104775</xdr:rowOff>
    </xdr:to>
    <xdr:graphicFrame macro="">
      <xdr:nvGraphicFramePr>
        <xdr:cNvPr id="279116" name="Gráfico 1">
          <a:extLst>
            <a:ext uri="{FF2B5EF4-FFF2-40B4-BE49-F238E27FC236}">
              <a16:creationId xmlns:a16="http://schemas.microsoft.com/office/drawing/2014/main" id="{00000000-0008-0000-0600-00004C42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123825</xdr:colOff>
      <xdr:row>21</xdr:row>
      <xdr:rowOff>85725</xdr:rowOff>
    </xdr:from>
    <xdr:to>
      <xdr:col>8</xdr:col>
      <xdr:colOff>600075</xdr:colOff>
      <xdr:row>39</xdr:row>
      <xdr:rowOff>38100</xdr:rowOff>
    </xdr:to>
    <xdr:graphicFrame macro="">
      <xdr:nvGraphicFramePr>
        <xdr:cNvPr id="279117" name="Gráfico 2">
          <a:extLst>
            <a:ext uri="{FF2B5EF4-FFF2-40B4-BE49-F238E27FC236}">
              <a16:creationId xmlns:a16="http://schemas.microsoft.com/office/drawing/2014/main" id="{00000000-0008-0000-0600-00004D42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762000</xdr:colOff>
      <xdr:row>43</xdr:row>
      <xdr:rowOff>0</xdr:rowOff>
    </xdr:from>
    <xdr:to>
      <xdr:col>9</xdr:col>
      <xdr:colOff>85725</xdr:colOff>
      <xdr:row>57</xdr:row>
      <xdr:rowOff>133350</xdr:rowOff>
    </xdr:to>
    <xdr:graphicFrame macro="">
      <xdr:nvGraphicFramePr>
        <xdr:cNvPr id="279118" name="Gráfico 4">
          <a:extLst>
            <a:ext uri="{FF2B5EF4-FFF2-40B4-BE49-F238E27FC236}">
              <a16:creationId xmlns:a16="http://schemas.microsoft.com/office/drawing/2014/main" id="{00000000-0008-0000-0600-00004E42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200025</xdr:colOff>
      <xdr:row>5</xdr:row>
      <xdr:rowOff>161925</xdr:rowOff>
    </xdr:from>
    <xdr:to>
      <xdr:col>11</xdr:col>
      <xdr:colOff>200025</xdr:colOff>
      <xdr:row>20</xdr:row>
      <xdr:rowOff>47625</xdr:rowOff>
    </xdr:to>
    <xdr:graphicFrame macro="">
      <xdr:nvGraphicFramePr>
        <xdr:cNvPr id="558544" name="2 Gráfico">
          <a:extLst>
            <a:ext uri="{FF2B5EF4-FFF2-40B4-BE49-F238E27FC236}">
              <a16:creationId xmlns:a16="http://schemas.microsoft.com/office/drawing/2014/main" id="{00000000-0008-0000-0700-0000D0850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21</xdr:row>
      <xdr:rowOff>57150</xdr:rowOff>
    </xdr:from>
    <xdr:to>
      <xdr:col>12</xdr:col>
      <xdr:colOff>266700</xdr:colOff>
      <xdr:row>35</xdr:row>
      <xdr:rowOff>133350</xdr:rowOff>
    </xdr:to>
    <xdr:graphicFrame macro="">
      <xdr:nvGraphicFramePr>
        <xdr:cNvPr id="558545" name="3 Gráfico">
          <a:extLst>
            <a:ext uri="{FF2B5EF4-FFF2-40B4-BE49-F238E27FC236}">
              <a16:creationId xmlns:a16="http://schemas.microsoft.com/office/drawing/2014/main" id="{00000000-0008-0000-0700-0000D1850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257175</xdr:colOff>
      <xdr:row>36</xdr:row>
      <xdr:rowOff>123825</xdr:rowOff>
    </xdr:from>
    <xdr:to>
      <xdr:col>12</xdr:col>
      <xdr:colOff>257175</xdr:colOff>
      <xdr:row>51</xdr:row>
      <xdr:rowOff>9525</xdr:rowOff>
    </xdr:to>
    <xdr:graphicFrame macro="">
      <xdr:nvGraphicFramePr>
        <xdr:cNvPr id="558546" name="4 Gráfico">
          <a:extLst>
            <a:ext uri="{FF2B5EF4-FFF2-40B4-BE49-F238E27FC236}">
              <a16:creationId xmlns:a16="http://schemas.microsoft.com/office/drawing/2014/main" id="{00000000-0008-0000-0700-0000D2850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0</xdr:colOff>
      <xdr:row>31</xdr:row>
      <xdr:rowOff>0</xdr:rowOff>
    </xdr:from>
    <xdr:to>
      <xdr:col>44</xdr:col>
      <xdr:colOff>499482</xdr:colOff>
      <xdr:row>58</xdr:row>
      <xdr:rowOff>116158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71BB5B8-A545-4244-8B7C-35CD78DA0D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561974</xdr:colOff>
      <xdr:row>5</xdr:row>
      <xdr:rowOff>128586</xdr:rowOff>
    </xdr:from>
    <xdr:to>
      <xdr:col>14</xdr:col>
      <xdr:colOff>590550</xdr:colOff>
      <xdr:row>19</xdr:row>
      <xdr:rowOff>19049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C652653-6831-2287-9038-A0B58B3BBD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676043</xdr:colOff>
      <xdr:row>27</xdr:row>
      <xdr:rowOff>209084</xdr:rowOff>
    </xdr:from>
    <xdr:to>
      <xdr:col>43</xdr:col>
      <xdr:colOff>197469</xdr:colOff>
      <xdr:row>50</xdr:row>
      <xdr:rowOff>69696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2A5C045-9BD6-59F2-EDDD-CB02088DDC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39</xdr:col>
      <xdr:colOff>321758</xdr:colOff>
      <xdr:row>10</xdr:row>
      <xdr:rowOff>57150</xdr:rowOff>
    </xdr:from>
    <xdr:to>
      <xdr:col>45</xdr:col>
      <xdr:colOff>290396</xdr:colOff>
      <xdr:row>28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EE80207-3BA4-5D35-256F-D47716EE9E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51</xdr:col>
      <xdr:colOff>197922</xdr:colOff>
      <xdr:row>7</xdr:row>
      <xdr:rowOff>12369</xdr:rowOff>
    </xdr:from>
    <xdr:to>
      <xdr:col>58</xdr:col>
      <xdr:colOff>717467</xdr:colOff>
      <xdr:row>22</xdr:row>
      <xdr:rowOff>123701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0B5EFC1-16F4-40A5-A466-D88348FA65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676275</xdr:colOff>
      <xdr:row>3</xdr:row>
      <xdr:rowOff>47625</xdr:rowOff>
    </xdr:from>
    <xdr:to>
      <xdr:col>3</xdr:col>
      <xdr:colOff>1162050</xdr:colOff>
      <xdr:row>6</xdr:row>
      <xdr:rowOff>41275</xdr:rowOff>
    </xdr:to>
    <xdr:pic>
      <xdr:nvPicPr>
        <xdr:cNvPr id="45483" name="Picture 16" descr="https://encrypted-tbn1.gstatic.com/images?q=tbn:ANd9GcQKUmmGGMr_jXoemMUtol6RVAVbuTRUUP2xy8MUTWcrt1LZkQAL">
          <a:extLst>
            <a:ext uri="{FF2B5EF4-FFF2-40B4-BE49-F238E27FC236}">
              <a16:creationId xmlns:a16="http://schemas.microsoft.com/office/drawing/2014/main" id="{00000000-0008-0000-0200-0000ABB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79875" y="606425"/>
          <a:ext cx="4857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304800</xdr:colOff>
      <xdr:row>2</xdr:row>
      <xdr:rowOff>157161</xdr:rowOff>
    </xdr:from>
    <xdr:to>
      <xdr:col>11</xdr:col>
      <xdr:colOff>419100</xdr:colOff>
      <xdr:row>18</xdr:row>
      <xdr:rowOff>66674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7F4A8CF-DD16-491B-AAC4-7CC5A101F0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47625</xdr:rowOff>
    </xdr:from>
    <xdr:to>
      <xdr:col>12</xdr:col>
      <xdr:colOff>0</xdr:colOff>
      <xdr:row>20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0A1B9C2-AEAB-451F-ACB0-FF3005EDD3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466725</xdr:colOff>
      <xdr:row>8</xdr:row>
      <xdr:rowOff>209550</xdr:rowOff>
    </xdr:from>
    <xdr:to>
      <xdr:col>24</xdr:col>
      <xdr:colOff>523875</xdr:colOff>
      <xdr:row>22</xdr:row>
      <xdr:rowOff>171450</xdr:rowOff>
    </xdr:to>
    <xdr:graphicFrame macro="">
      <xdr:nvGraphicFramePr>
        <xdr:cNvPr id="274645" name="Gráfico 1">
          <a:extLst>
            <a:ext uri="{FF2B5EF4-FFF2-40B4-BE49-F238E27FC236}">
              <a16:creationId xmlns:a16="http://schemas.microsoft.com/office/drawing/2014/main" id="{00000000-0008-0000-0400-0000D5300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592960</xdr:colOff>
      <xdr:row>8</xdr:row>
      <xdr:rowOff>94791</xdr:rowOff>
    </xdr:from>
    <xdr:to>
      <xdr:col>24</xdr:col>
      <xdr:colOff>650111</xdr:colOff>
      <xdr:row>22</xdr:row>
      <xdr:rowOff>56691</xdr:rowOff>
    </xdr:to>
    <xdr:graphicFrame macro="">
      <xdr:nvGraphicFramePr>
        <xdr:cNvPr id="685217" name="Gráfico 1">
          <a:extLst>
            <a:ext uri="{FF2B5EF4-FFF2-40B4-BE49-F238E27FC236}">
              <a16:creationId xmlns:a16="http://schemas.microsoft.com/office/drawing/2014/main" id="{00000000-0008-0000-0500-0000A1740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5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29"/>
  <sheetViews>
    <sheetView topLeftCell="B4" workbookViewId="0">
      <selection activeCell="B2" sqref="B2:C22"/>
    </sheetView>
  </sheetViews>
  <sheetFormatPr baseColWidth="10" defaultColWidth="11.42578125" defaultRowHeight="15" x14ac:dyDescent="0.25"/>
  <cols>
    <col min="2" max="3" width="19.5703125" bestFit="1" customWidth="1"/>
  </cols>
  <sheetData>
    <row r="1" spans="2:3" ht="15.75" thickBot="1" x14ac:dyDescent="0.3"/>
    <row r="2" spans="2:3" x14ac:dyDescent="0.25">
      <c r="B2" s="7" t="s">
        <v>0</v>
      </c>
      <c r="C2" s="8" t="s">
        <v>1</v>
      </c>
    </row>
    <row r="3" spans="2:3" x14ac:dyDescent="0.25">
      <c r="B3" s="21" t="s">
        <v>2</v>
      </c>
      <c r="C3" s="22" t="e">
        <f>COUNTIF(#REF!,"0")</f>
        <v>#REF!</v>
      </c>
    </row>
    <row r="4" spans="2:3" x14ac:dyDescent="0.25">
      <c r="B4" s="21" t="s">
        <v>3</v>
      </c>
      <c r="C4" s="22" t="e">
        <f>COUNTIF(#REF!,"1")</f>
        <v>#REF!</v>
      </c>
    </row>
    <row r="5" spans="2:3" x14ac:dyDescent="0.25">
      <c r="B5" s="21" t="s">
        <v>4</v>
      </c>
      <c r="C5" s="22" t="e">
        <f>COUNTIF(#REF!,"2")</f>
        <v>#REF!</v>
      </c>
    </row>
    <row r="6" spans="2:3" x14ac:dyDescent="0.25">
      <c r="B6" s="21" t="s">
        <v>5</v>
      </c>
      <c r="C6" s="22" t="e">
        <f>COUNTIF(#REF!,"3")</f>
        <v>#REF!</v>
      </c>
    </row>
    <row r="7" spans="2:3" x14ac:dyDescent="0.25">
      <c r="B7" s="21" t="s">
        <v>6</v>
      </c>
      <c r="C7" s="22" t="e">
        <f>COUNTIF(#REF!,"4")</f>
        <v>#REF!</v>
      </c>
    </row>
    <row r="8" spans="2:3" x14ac:dyDescent="0.25">
      <c r="B8" s="21" t="s">
        <v>7</v>
      </c>
      <c r="C8" s="22" t="e">
        <f>COUNTIF(#REF!,"5")</f>
        <v>#REF!</v>
      </c>
    </row>
    <row r="9" spans="2:3" x14ac:dyDescent="0.25">
      <c r="B9" s="21" t="s">
        <v>8</v>
      </c>
      <c r="C9" s="22" t="e">
        <f>COUNTIF(#REF!,"6")</f>
        <v>#REF!</v>
      </c>
    </row>
    <row r="10" spans="2:3" x14ac:dyDescent="0.25">
      <c r="B10" s="21" t="s">
        <v>9</v>
      </c>
      <c r="C10" s="22" t="e">
        <f>COUNTIF(#REF!,"7")</f>
        <v>#REF!</v>
      </c>
    </row>
    <row r="11" spans="2:3" x14ac:dyDescent="0.25">
      <c r="B11" s="21" t="s">
        <v>10</v>
      </c>
      <c r="C11" s="22" t="e">
        <f>COUNTIF(#REF!,"8")</f>
        <v>#REF!</v>
      </c>
    </row>
    <row r="12" spans="2:3" x14ac:dyDescent="0.25">
      <c r="B12" s="21" t="s">
        <v>11</v>
      </c>
      <c r="C12" s="22" t="e">
        <f>COUNTIF(#REF!,"9")</f>
        <v>#REF!</v>
      </c>
    </row>
    <row r="13" spans="2:3" x14ac:dyDescent="0.25">
      <c r="B13" s="21" t="s">
        <v>12</v>
      </c>
      <c r="C13" s="22" t="e">
        <f>COUNTIF(#REF!,"10")</f>
        <v>#REF!</v>
      </c>
    </row>
    <row r="14" spans="2:3" x14ac:dyDescent="0.25">
      <c r="B14" s="21" t="s">
        <v>13</v>
      </c>
      <c r="C14" s="22" t="e">
        <f>COUNTIF(#REF!,"11")</f>
        <v>#REF!</v>
      </c>
    </row>
    <row r="15" spans="2:3" x14ac:dyDescent="0.25">
      <c r="B15" s="21" t="s">
        <v>14</v>
      </c>
      <c r="C15" s="22" t="e">
        <f>COUNTIF(#REF!,"12")</f>
        <v>#REF!</v>
      </c>
    </row>
    <row r="16" spans="2:3" x14ac:dyDescent="0.25">
      <c r="B16" s="21" t="s">
        <v>15</v>
      </c>
      <c r="C16" s="22" t="e">
        <f>COUNTIF(#REF!,"13")</f>
        <v>#REF!</v>
      </c>
    </row>
    <row r="17" spans="2:4" x14ac:dyDescent="0.25">
      <c r="B17" s="21" t="s">
        <v>16</v>
      </c>
      <c r="C17" s="22" t="e">
        <f>COUNTIF(#REF!,"14")</f>
        <v>#REF!</v>
      </c>
    </row>
    <row r="18" spans="2:4" x14ac:dyDescent="0.25">
      <c r="B18" s="21" t="s">
        <v>17</v>
      </c>
      <c r="C18" s="22" t="e">
        <f>COUNTIF(#REF!,"15")</f>
        <v>#REF!</v>
      </c>
    </row>
    <row r="19" spans="2:4" x14ac:dyDescent="0.25">
      <c r="B19" s="21" t="s">
        <v>18</v>
      </c>
      <c r="C19" s="22" t="e">
        <f>COUNTIF(#REF!,"16")</f>
        <v>#REF!</v>
      </c>
    </row>
    <row r="20" spans="2:4" x14ac:dyDescent="0.25">
      <c r="B20" s="21" t="s">
        <v>19</v>
      </c>
      <c r="C20" s="22" t="e">
        <f>COUNTIF(#REF!,"17")</f>
        <v>#REF!</v>
      </c>
    </row>
    <row r="21" spans="2:4" x14ac:dyDescent="0.25">
      <c r="B21" s="21" t="s">
        <v>20</v>
      </c>
      <c r="C21" s="22" t="e">
        <f>COUNTIF(#REF!,"18")</f>
        <v>#REF!</v>
      </c>
    </row>
    <row r="22" spans="2:4" ht="15.75" thickBot="1" x14ac:dyDescent="0.3">
      <c r="B22" s="23" t="s">
        <v>21</v>
      </c>
      <c r="C22" s="24" t="e">
        <f>COUNTIF(#REF!,"19")</f>
        <v>#REF!</v>
      </c>
    </row>
    <row r="25" spans="2:4" ht="15.75" thickBot="1" x14ac:dyDescent="0.3"/>
    <row r="26" spans="2:4" ht="15.75" thickBot="1" x14ac:dyDescent="0.3">
      <c r="B26" s="15" t="s">
        <v>22</v>
      </c>
      <c r="C26" s="16" t="s">
        <v>0</v>
      </c>
      <c r="D26" s="17" t="s">
        <v>23</v>
      </c>
    </row>
    <row r="27" spans="2:4" x14ac:dyDescent="0.25">
      <c r="B27" s="12" t="s">
        <v>24</v>
      </c>
      <c r="C27" s="13" t="e">
        <f>COUNTIF(#REF!,"&lt;3")</f>
        <v>#REF!</v>
      </c>
      <c r="D27" s="14" t="e">
        <f>C27/$C$29</f>
        <v>#REF!</v>
      </c>
    </row>
    <row r="28" spans="2:4" ht="15.75" thickBot="1" x14ac:dyDescent="0.3">
      <c r="B28" s="9" t="s">
        <v>25</v>
      </c>
      <c r="C28" s="10" t="e">
        <f>COUNTIF(#REF!,"&gt;=3")</f>
        <v>#REF!</v>
      </c>
      <c r="D28" s="11" t="e">
        <f>C28/$C$29</f>
        <v>#REF!</v>
      </c>
    </row>
    <row r="29" spans="2:4" ht="15.75" thickBot="1" x14ac:dyDescent="0.3">
      <c r="B29" s="18" t="s">
        <v>26</v>
      </c>
      <c r="C29" s="19" t="e">
        <f>SUM(C27:C28)</f>
        <v>#REF!</v>
      </c>
      <c r="D29" s="20" t="e">
        <f>SUM(D27:D28)</f>
        <v>#REF!</v>
      </c>
    </row>
  </sheetData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80C9B-991D-48AC-9AEF-2525539F61D6}">
  <dimension ref="B1:C15"/>
  <sheetViews>
    <sheetView topLeftCell="C2" workbookViewId="0">
      <selection activeCell="Q15" sqref="Q15"/>
    </sheetView>
  </sheetViews>
  <sheetFormatPr baseColWidth="10" defaultColWidth="11.42578125" defaultRowHeight="15" x14ac:dyDescent="0.25"/>
  <cols>
    <col min="3" max="3" width="12.7109375" bestFit="1" customWidth="1"/>
  </cols>
  <sheetData>
    <row r="1" spans="2:3" ht="15.75" thickBot="1" x14ac:dyDescent="0.3">
      <c r="B1" t="s">
        <v>55</v>
      </c>
      <c r="C1" t="s">
        <v>272</v>
      </c>
    </row>
    <row r="2" spans="2:3" ht="21.75" thickBot="1" x14ac:dyDescent="0.3">
      <c r="B2" s="92" t="s">
        <v>34</v>
      </c>
      <c r="C2">
        <v>9</v>
      </c>
    </row>
    <row r="3" spans="2:3" ht="30" thickBot="1" x14ac:dyDescent="0.3">
      <c r="B3" s="92" t="s">
        <v>35</v>
      </c>
      <c r="C3">
        <v>15</v>
      </c>
    </row>
    <row r="4" spans="2:3" ht="16.5" thickBot="1" x14ac:dyDescent="0.3">
      <c r="B4" s="93" t="s">
        <v>37</v>
      </c>
      <c r="C4">
        <v>5</v>
      </c>
    </row>
    <row r="5" spans="2:3" ht="24.75" thickBot="1" x14ac:dyDescent="0.3">
      <c r="B5" s="93" t="s">
        <v>38</v>
      </c>
      <c r="C5">
        <v>1</v>
      </c>
    </row>
    <row r="6" spans="2:3" ht="33.75" thickBot="1" x14ac:dyDescent="0.3">
      <c r="B6" s="97" t="s">
        <v>39</v>
      </c>
      <c r="C6">
        <v>4</v>
      </c>
    </row>
    <row r="7" spans="2:3" ht="38.25" thickBot="1" x14ac:dyDescent="0.3">
      <c r="B7" s="97" t="s">
        <v>40</v>
      </c>
      <c r="C7">
        <v>3</v>
      </c>
    </row>
    <row r="8" spans="2:3" ht="19.5" thickBot="1" x14ac:dyDescent="0.3">
      <c r="B8" s="92" t="s">
        <v>42</v>
      </c>
      <c r="C8">
        <v>12</v>
      </c>
    </row>
    <row r="9" spans="2:3" ht="19.5" thickBot="1" x14ac:dyDescent="0.3">
      <c r="B9" s="92" t="s">
        <v>43</v>
      </c>
      <c r="C9">
        <v>10</v>
      </c>
    </row>
    <row r="10" spans="2:3" ht="18.75" thickBot="1" x14ac:dyDescent="0.3">
      <c r="B10" s="92" t="s">
        <v>44</v>
      </c>
      <c r="C10">
        <v>13</v>
      </c>
    </row>
    <row r="11" spans="2:3" ht="17.25" thickBot="1" x14ac:dyDescent="0.3">
      <c r="B11" s="92" t="s">
        <v>46</v>
      </c>
      <c r="C11">
        <v>14</v>
      </c>
    </row>
    <row r="12" spans="2:3" ht="17.25" thickBot="1" x14ac:dyDescent="0.3">
      <c r="B12" s="92" t="s">
        <v>47</v>
      </c>
      <c r="C12">
        <v>7</v>
      </c>
    </row>
    <row r="13" spans="2:3" ht="15.75" thickBot="1" x14ac:dyDescent="0.3">
      <c r="B13" s="94" t="s">
        <v>49</v>
      </c>
      <c r="C13">
        <v>11</v>
      </c>
    </row>
    <row r="14" spans="2:3" ht="16.5" thickBot="1" x14ac:dyDescent="0.3">
      <c r="B14" s="95" t="s">
        <v>50</v>
      </c>
      <c r="C14">
        <v>11</v>
      </c>
    </row>
    <row r="15" spans="2:3" ht="24.75" x14ac:dyDescent="0.25">
      <c r="B15" s="98" t="s">
        <v>51</v>
      </c>
      <c r="C15">
        <v>7</v>
      </c>
    </row>
  </sheetData>
  <pageMargins left="0.7" right="0.7" top="0.75" bottom="0.75" header="0.3" footer="0.3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L26:M27"/>
  <sheetViews>
    <sheetView topLeftCell="A28" workbookViewId="0">
      <selection activeCell="D5" sqref="D5"/>
    </sheetView>
  </sheetViews>
  <sheetFormatPr baseColWidth="10" defaultColWidth="11.42578125" defaultRowHeight="15" x14ac:dyDescent="0.25"/>
  <sheetData>
    <row r="26" spans="12:13" x14ac:dyDescent="0.25">
      <c r="L26">
        <v>18</v>
      </c>
      <c r="M26" s="42">
        <f>L26/35</f>
        <v>0.51428571428571423</v>
      </c>
    </row>
    <row r="27" spans="12:13" x14ac:dyDescent="0.25">
      <c r="L27">
        <f>35-18</f>
        <v>17</v>
      </c>
      <c r="M27" s="42">
        <f>L27/35</f>
        <v>0.48571428571428571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3:D42"/>
  <sheetViews>
    <sheetView topLeftCell="A24" workbookViewId="0">
      <selection activeCell="D5" sqref="D5"/>
    </sheetView>
  </sheetViews>
  <sheetFormatPr baseColWidth="10" defaultColWidth="11.42578125" defaultRowHeight="15" x14ac:dyDescent="0.25"/>
  <cols>
    <col min="3" max="3" width="13.140625" customWidth="1"/>
  </cols>
  <sheetData>
    <row r="3" spans="2:4" x14ac:dyDescent="0.25">
      <c r="B3" s="152" t="s">
        <v>60</v>
      </c>
      <c r="C3" s="152" t="s">
        <v>272</v>
      </c>
      <c r="D3" s="52" t="s">
        <v>23</v>
      </c>
    </row>
    <row r="4" spans="2:4" x14ac:dyDescent="0.25">
      <c r="B4" s="41" t="s">
        <v>2</v>
      </c>
      <c r="C4">
        <f>COUNTIF('Estadisticas IPERIODO'!$M$5:$M$29,"0")</f>
        <v>11</v>
      </c>
      <c r="D4" s="42">
        <f>C4/$C$14</f>
        <v>0.44</v>
      </c>
    </row>
    <row r="5" spans="2:4" x14ac:dyDescent="0.25">
      <c r="B5" s="41" t="s">
        <v>3</v>
      </c>
      <c r="C5">
        <f>COUNTIF('Estadisticas IPERIODO'!$M$5:$M$29,"1")</f>
        <v>2</v>
      </c>
      <c r="D5" s="42">
        <f t="shared" ref="D5:D13" si="0">C5/$C$14</f>
        <v>0.08</v>
      </c>
    </row>
    <row r="6" spans="2:4" x14ac:dyDescent="0.25">
      <c r="B6" s="41" t="s">
        <v>4</v>
      </c>
      <c r="C6">
        <f>COUNTIF('Estadisticas IPERIODO'!$M$5:$M$29,"2")</f>
        <v>3</v>
      </c>
      <c r="D6" s="42">
        <f t="shared" si="0"/>
        <v>0.12</v>
      </c>
    </row>
    <row r="7" spans="2:4" x14ac:dyDescent="0.25">
      <c r="B7" s="41" t="s">
        <v>5</v>
      </c>
      <c r="C7">
        <f>COUNTIF('Estadisticas IPERIODO'!$M$5:$M$29,"3")</f>
        <v>2</v>
      </c>
      <c r="D7" s="42">
        <f t="shared" si="0"/>
        <v>0.08</v>
      </c>
    </row>
    <row r="8" spans="2:4" x14ac:dyDescent="0.25">
      <c r="B8" s="41" t="s">
        <v>6</v>
      </c>
      <c r="C8">
        <f>COUNTIF('Estadisticas IPERIODO'!$M$5:$M$29,"4")</f>
        <v>3</v>
      </c>
      <c r="D8" s="42">
        <f t="shared" si="0"/>
        <v>0.12</v>
      </c>
    </row>
    <row r="9" spans="2:4" x14ac:dyDescent="0.25">
      <c r="B9" s="41" t="s">
        <v>7</v>
      </c>
      <c r="C9">
        <f>COUNTIF('Estadisticas IPERIODO'!$M$5:$M$29,"5")</f>
        <v>3</v>
      </c>
      <c r="D9" s="42">
        <f t="shared" si="0"/>
        <v>0.12</v>
      </c>
    </row>
    <row r="10" spans="2:4" x14ac:dyDescent="0.25">
      <c r="B10" s="41" t="s">
        <v>8</v>
      </c>
      <c r="C10">
        <f>COUNTIF('Estadisticas IPERIODO'!$M$5:$M$29,"6")</f>
        <v>0</v>
      </c>
      <c r="D10" s="42">
        <f t="shared" si="0"/>
        <v>0</v>
      </c>
    </row>
    <row r="11" spans="2:4" x14ac:dyDescent="0.25">
      <c r="B11" s="41" t="s">
        <v>9</v>
      </c>
      <c r="C11">
        <f>COUNTIF('Estadisticas IPERIODO'!$M$5:$M$29,"7")</f>
        <v>1</v>
      </c>
      <c r="D11" s="42">
        <f t="shared" si="0"/>
        <v>0.04</v>
      </c>
    </row>
    <row r="12" spans="2:4" x14ac:dyDescent="0.25">
      <c r="B12" s="41" t="s">
        <v>10</v>
      </c>
      <c r="C12">
        <f>COUNTIF('Estadisticas IPERIODO'!$M$5:$M$29,"8")</f>
        <v>0</v>
      </c>
      <c r="D12" s="42">
        <f t="shared" si="0"/>
        <v>0</v>
      </c>
    </row>
    <row r="13" spans="2:4" x14ac:dyDescent="0.25">
      <c r="B13" s="41" t="s">
        <v>11</v>
      </c>
      <c r="C13">
        <f>COUNTIF('Estadisticas IPERIODO'!$M$5:$M$29,"9")</f>
        <v>0</v>
      </c>
      <c r="D13" s="42">
        <f t="shared" si="0"/>
        <v>0</v>
      </c>
    </row>
    <row r="14" spans="2:4" x14ac:dyDescent="0.25">
      <c r="C14">
        <f>SUM(C4:C13)</f>
        <v>25</v>
      </c>
      <c r="D14" s="51">
        <f>SUM(D4:D13)</f>
        <v>1</v>
      </c>
    </row>
    <row r="25" spans="1:3" x14ac:dyDescent="0.25">
      <c r="A25" t="s">
        <v>273</v>
      </c>
      <c r="B25">
        <f>SUM(C4)</f>
        <v>11</v>
      </c>
      <c r="C25" s="51">
        <f>B25/$C$14</f>
        <v>0.44</v>
      </c>
    </row>
    <row r="26" spans="1:3" x14ac:dyDescent="0.25">
      <c r="A26" t="s">
        <v>274</v>
      </c>
      <c r="B26">
        <f>SUM(C5:C13)</f>
        <v>14</v>
      </c>
      <c r="C26" s="51">
        <f>B26/$C$14</f>
        <v>0.56000000000000005</v>
      </c>
    </row>
    <row r="40" spans="2:3" x14ac:dyDescent="0.25">
      <c r="B40">
        <f>SUM(C4:C6)</f>
        <v>16</v>
      </c>
      <c r="C40" s="42">
        <f>B40/$B$42</f>
        <v>0.64</v>
      </c>
    </row>
    <row r="41" spans="2:3" x14ac:dyDescent="0.25">
      <c r="B41">
        <f>SUM(C7:C13)</f>
        <v>9</v>
      </c>
      <c r="C41" s="42">
        <f>B41/$B$42</f>
        <v>0.36</v>
      </c>
    </row>
    <row r="42" spans="2:3" x14ac:dyDescent="0.25">
      <c r="B42">
        <f>SUM(B40:B41)</f>
        <v>25</v>
      </c>
    </row>
  </sheetData>
  <pageMargins left="0.7" right="0.7" top="0.75" bottom="0.75" header="0.3" footer="0.3"/>
  <pageSetup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FB128-E03C-4859-9F93-4AE478878049}">
  <dimension ref="A1:BN59"/>
  <sheetViews>
    <sheetView topLeftCell="A2" zoomScale="82" zoomScaleNormal="82" workbookViewId="0">
      <pane xSplit="3" ySplit="2" topLeftCell="D4" activePane="bottomRight" state="frozenSplit"/>
      <selection pane="topRight" activeCell="C46" sqref="C46"/>
      <selection pane="bottomLeft" activeCell="C46" sqref="C46"/>
      <selection pane="bottomRight" activeCell="G4" sqref="G4"/>
    </sheetView>
  </sheetViews>
  <sheetFormatPr baseColWidth="10" defaultColWidth="11.42578125" defaultRowHeight="15" x14ac:dyDescent="0.25"/>
  <cols>
    <col min="1" max="1" width="4.42578125" customWidth="1"/>
    <col min="2" max="2" width="10" customWidth="1"/>
    <col min="3" max="3" width="36.42578125" customWidth="1"/>
    <col min="4" max="4" width="8.140625" customWidth="1"/>
    <col min="5" max="5" width="7.85546875" bestFit="1" customWidth="1"/>
    <col min="6" max="6" width="7.7109375" customWidth="1"/>
    <col min="7" max="7" width="11" customWidth="1"/>
    <col min="8" max="8" width="8.140625" customWidth="1"/>
    <col min="9" max="10" width="8.85546875" bestFit="1" customWidth="1"/>
    <col min="11" max="11" width="9.28515625" bestFit="1" customWidth="1"/>
    <col min="12" max="12" width="8.28515625" bestFit="1" customWidth="1"/>
    <col min="13" max="13" width="8.28515625" customWidth="1"/>
    <col min="14" max="15" width="7.42578125" bestFit="1" customWidth="1"/>
    <col min="16" max="16" width="6.28515625" bestFit="1" customWidth="1"/>
    <col min="17" max="17" width="6.28515625" customWidth="1"/>
    <col min="18" max="18" width="5" bestFit="1" customWidth="1"/>
    <col min="19" max="19" width="5.7109375" bestFit="1" customWidth="1"/>
    <col min="20" max="20" width="6.7109375" bestFit="1" customWidth="1"/>
    <col min="21" max="21" width="5.140625" bestFit="1" customWidth="1"/>
    <col min="22" max="22" width="4.85546875" bestFit="1" customWidth="1"/>
    <col min="23" max="23" width="3.5703125" hidden="1" customWidth="1"/>
    <col min="24" max="24" width="0" hidden="1" customWidth="1"/>
    <col min="25" max="25" width="5" hidden="1" customWidth="1"/>
    <col min="26" max="26" width="45.85546875" hidden="1" customWidth="1"/>
    <col min="27" max="27" width="14" style="57" hidden="1" customWidth="1"/>
    <col min="28" max="28" width="18" style="57" hidden="1" customWidth="1"/>
    <col min="29" max="29" width="0" style="57" hidden="1" customWidth="1"/>
    <col min="30" max="30" width="19.7109375" style="57" hidden="1" customWidth="1"/>
    <col min="31" max="31" width="9.85546875" style="57" customWidth="1"/>
    <col min="32" max="40" width="11.42578125" style="57"/>
    <col min="41" max="41" width="15.5703125" style="57" bestFit="1" customWidth="1"/>
    <col min="42" max="66" width="11.42578125" style="57"/>
  </cols>
  <sheetData>
    <row r="1" spans="1:66" ht="15.75" thickBot="1" x14ac:dyDescent="0.3">
      <c r="A1" s="175" t="s">
        <v>27</v>
      </c>
      <c r="B1" s="176"/>
      <c r="C1" s="6" t="s">
        <v>28</v>
      </c>
      <c r="D1" s="6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8"/>
      <c r="W1" s="179" t="s">
        <v>29</v>
      </c>
    </row>
    <row r="2" spans="1:66" ht="102" thickBot="1" x14ac:dyDescent="0.3">
      <c r="A2" s="76" t="s">
        <v>30</v>
      </c>
      <c r="B2" s="74" t="s">
        <v>31</v>
      </c>
      <c r="C2" s="99" t="s">
        <v>32</v>
      </c>
      <c r="D2" s="40" t="s">
        <v>33</v>
      </c>
      <c r="E2" s="70" t="s">
        <v>34</v>
      </c>
      <c r="F2" s="70" t="s">
        <v>35</v>
      </c>
      <c r="G2" s="40" t="s">
        <v>36</v>
      </c>
      <c r="H2" s="69" t="s">
        <v>37</v>
      </c>
      <c r="I2" s="69" t="s">
        <v>38</v>
      </c>
      <c r="J2" s="62" t="s">
        <v>39</v>
      </c>
      <c r="K2" s="62" t="s">
        <v>40</v>
      </c>
      <c r="L2" s="40" t="s">
        <v>41</v>
      </c>
      <c r="M2" s="70" t="s">
        <v>42</v>
      </c>
      <c r="N2" s="70" t="s">
        <v>43</v>
      </c>
      <c r="O2" s="70" t="s">
        <v>44</v>
      </c>
      <c r="P2" s="40" t="s">
        <v>45</v>
      </c>
      <c r="Q2" s="70" t="s">
        <v>46</v>
      </c>
      <c r="R2" s="70" t="s">
        <v>47</v>
      </c>
      <c r="S2" s="40" t="s">
        <v>48</v>
      </c>
      <c r="T2" s="72" t="s">
        <v>49</v>
      </c>
      <c r="U2" s="73" t="s">
        <v>50</v>
      </c>
      <c r="V2" s="61" t="s">
        <v>51</v>
      </c>
      <c r="W2" s="180"/>
      <c r="X2" s="66" t="s">
        <v>52</v>
      </c>
      <c r="Y2" s="67" t="s">
        <v>53</v>
      </c>
      <c r="Z2" s="68" t="s">
        <v>54</v>
      </c>
    </row>
    <row r="3" spans="1:66" ht="15.75" thickBot="1" x14ac:dyDescent="0.3">
      <c r="A3" s="96"/>
      <c r="B3" s="96"/>
      <c r="C3" s="84"/>
      <c r="D3" s="75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181"/>
      <c r="X3" s="59"/>
      <c r="Y3" s="59"/>
      <c r="Z3" s="59"/>
      <c r="AF3" s="57" t="s">
        <v>55</v>
      </c>
      <c r="AG3" s="57" t="s">
        <v>56</v>
      </c>
    </row>
    <row r="4" spans="1:66" s="56" customFormat="1" ht="16.5" thickBot="1" x14ac:dyDescent="0.3">
      <c r="A4" s="78">
        <v>1</v>
      </c>
      <c r="B4" s="82"/>
      <c r="C4" s="86" t="s">
        <v>57</v>
      </c>
      <c r="D4" s="83"/>
      <c r="E4" s="96" t="s">
        <v>58</v>
      </c>
      <c r="F4" s="96" t="s">
        <v>58</v>
      </c>
      <c r="G4" s="83"/>
      <c r="H4" s="96" t="s">
        <v>58</v>
      </c>
      <c r="I4" s="96" t="s">
        <v>58</v>
      </c>
      <c r="J4" s="83"/>
      <c r="K4" s="83"/>
      <c r="L4" s="83"/>
      <c r="M4" s="96"/>
      <c r="N4" s="96" t="s">
        <v>58</v>
      </c>
      <c r="O4" s="96"/>
      <c r="P4" s="83"/>
      <c r="Q4" s="96" t="s">
        <v>58</v>
      </c>
      <c r="R4" s="96" t="s">
        <v>58</v>
      </c>
      <c r="S4" s="83"/>
      <c r="T4" s="96" t="s">
        <v>58</v>
      </c>
      <c r="U4" s="96"/>
      <c r="V4" s="83"/>
      <c r="W4" s="58">
        <f>COUNTIF(D4:V4,"X")-X4</f>
        <v>8</v>
      </c>
      <c r="X4" s="59">
        <f>COUNTA(D4,G4,L4,P4,S4)</f>
        <v>0</v>
      </c>
      <c r="Y4" s="59">
        <f>COUNTA(J4,K4,V4)</f>
        <v>0</v>
      </c>
      <c r="Z4" s="59" t="str">
        <f>IF(AND(X4=0,Y4=0),"Felicitaciones por el buen rendimiento Académico",IF(AND(X4=1,Y4=1),"Pasas con logros Pendientes",IF(AND(X4=1,Y4=0),"Pasas con logros Pendientes",IF(AND(X4=0,Y4=1),"Pasas con logros Pendientes","Tu año esta en riesgo de perderse"))))</f>
        <v>Felicitaciones por el buen rendimiento Académico</v>
      </c>
      <c r="AA4" s="57">
        <f>X4+Y4</f>
        <v>0</v>
      </c>
      <c r="AB4" s="57"/>
      <c r="AC4" s="57"/>
      <c r="AD4" s="57"/>
      <c r="AE4" s="57"/>
      <c r="AF4" s="79">
        <f>COUNTIF(D4:V4,"X")</f>
        <v>8</v>
      </c>
      <c r="AG4" s="57">
        <v>3</v>
      </c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  <c r="BM4" s="57"/>
      <c r="BN4" s="57"/>
    </row>
    <row r="5" spans="1:66" ht="16.5" thickBot="1" x14ac:dyDescent="0.3">
      <c r="A5" s="118">
        <v>2</v>
      </c>
      <c r="B5" s="119"/>
      <c r="C5" s="120" t="s">
        <v>59</v>
      </c>
      <c r="D5" s="83"/>
      <c r="E5" s="96"/>
      <c r="F5" s="96"/>
      <c r="G5" s="83"/>
      <c r="H5" s="96"/>
      <c r="I5" s="96"/>
      <c r="J5" s="83"/>
      <c r="K5" s="83"/>
      <c r="L5" s="83"/>
      <c r="M5" s="96"/>
      <c r="N5" s="96"/>
      <c r="O5" s="96"/>
      <c r="P5" s="83"/>
      <c r="Q5" s="96"/>
      <c r="R5" s="96" t="s">
        <v>58</v>
      </c>
      <c r="S5" s="83"/>
      <c r="T5" s="96"/>
      <c r="U5" s="96"/>
      <c r="V5" s="83"/>
      <c r="W5" s="58">
        <f t="shared" ref="W5:W40" si="0">COUNTIF(D5:V5,"X")-X5</f>
        <v>1</v>
      </c>
      <c r="X5" s="59">
        <f t="shared" ref="X5:X40" si="1">COUNTA(D5,G5,L5,P5,S5)</f>
        <v>0</v>
      </c>
      <c r="Y5" s="59">
        <f t="shared" ref="Y5:Y40" si="2">COUNTA(J5,K5,V5)</f>
        <v>0</v>
      </c>
      <c r="Z5" s="59" t="str">
        <f t="shared" ref="Z5:Z40" si="3">IF(AND(X5=0,Y5=0),"Felicitaciones por el buen rendimiento Académico",IF(AND(X5=1,Y5=1),"Pasas con logros Pendientes",IF(AND(X5=1,Y5=0),"Pasas con logros Pendientes",IF(AND(X5=0,Y5=1),"Pasas con logros Pendientes","Tu año esta en riesgo de perderse"))))</f>
        <v>Felicitaciones por el buen rendimiento Académico</v>
      </c>
      <c r="AA5" s="57">
        <f t="shared" ref="AA5:AA40" si="4">X5+Y5</f>
        <v>0</v>
      </c>
      <c r="AC5" s="121" t="s">
        <v>60</v>
      </c>
      <c r="AD5" s="121" t="s">
        <v>61</v>
      </c>
      <c r="AF5" s="79">
        <f t="shared" ref="AF5:AF41" si="5">COUNTIF(D5:V5,"X")</f>
        <v>1</v>
      </c>
      <c r="AG5" s="57">
        <v>1</v>
      </c>
    </row>
    <row r="6" spans="1:66" ht="16.5" thickBot="1" x14ac:dyDescent="0.3">
      <c r="A6" s="118">
        <v>3</v>
      </c>
      <c r="B6" s="119"/>
      <c r="C6" s="120" t="s">
        <v>62</v>
      </c>
      <c r="D6" s="83"/>
      <c r="E6" s="96"/>
      <c r="F6" s="96" t="s">
        <v>58</v>
      </c>
      <c r="G6" s="83"/>
      <c r="H6" s="96" t="s">
        <v>58</v>
      </c>
      <c r="I6" s="96" t="s">
        <v>58</v>
      </c>
      <c r="J6" s="83"/>
      <c r="K6" s="83"/>
      <c r="L6" s="83"/>
      <c r="M6" s="96"/>
      <c r="N6" s="96" t="s">
        <v>58</v>
      </c>
      <c r="O6" s="96" t="s">
        <v>58</v>
      </c>
      <c r="P6" s="83"/>
      <c r="Q6" s="96"/>
      <c r="R6" s="96" t="s">
        <v>58</v>
      </c>
      <c r="S6" s="83"/>
      <c r="T6" s="96" t="s">
        <v>58</v>
      </c>
      <c r="U6" s="96" t="s">
        <v>58</v>
      </c>
      <c r="V6" s="83"/>
      <c r="W6" s="58">
        <f t="shared" si="0"/>
        <v>8</v>
      </c>
      <c r="X6" s="59">
        <f>COUNTA(D6,G6,L6,P6,S6)</f>
        <v>0</v>
      </c>
      <c r="Y6" s="59">
        <f t="shared" si="2"/>
        <v>0</v>
      </c>
      <c r="Z6" s="59" t="str">
        <f t="shared" si="3"/>
        <v>Felicitaciones por el buen rendimiento Académico</v>
      </c>
      <c r="AA6" s="57">
        <f t="shared" si="4"/>
        <v>0</v>
      </c>
      <c r="AC6" s="122" t="s">
        <v>2</v>
      </c>
      <c r="AD6" s="123">
        <f>COUNTIF($AA$4:$AA$40,"0")</f>
        <v>26</v>
      </c>
      <c r="AF6" s="79">
        <f t="shared" si="5"/>
        <v>8</v>
      </c>
      <c r="AG6" s="57">
        <v>2</v>
      </c>
      <c r="AI6" t="s">
        <v>63</v>
      </c>
      <c r="AJ6" t="s">
        <v>64</v>
      </c>
      <c r="AK6" t="s">
        <v>23</v>
      </c>
      <c r="AN6" s="7" t="s">
        <v>0</v>
      </c>
      <c r="AO6" s="8" t="s">
        <v>1</v>
      </c>
    </row>
    <row r="7" spans="1:66" ht="16.5" thickBot="1" x14ac:dyDescent="0.3">
      <c r="A7" s="118">
        <v>4</v>
      </c>
      <c r="B7" s="119"/>
      <c r="C7" s="120" t="s">
        <v>65</v>
      </c>
      <c r="D7" s="83"/>
      <c r="E7" s="96"/>
      <c r="F7" s="96"/>
      <c r="G7" s="83"/>
      <c r="H7" s="96"/>
      <c r="I7" s="96"/>
      <c r="J7" s="83" t="s">
        <v>58</v>
      </c>
      <c r="K7" s="83"/>
      <c r="L7" s="83"/>
      <c r="M7" s="96"/>
      <c r="N7" s="96" t="s">
        <v>58</v>
      </c>
      <c r="O7" s="96" t="s">
        <v>58</v>
      </c>
      <c r="P7" s="83"/>
      <c r="Q7" s="96"/>
      <c r="R7" s="96"/>
      <c r="S7" s="83"/>
      <c r="T7" s="96" t="s">
        <v>58</v>
      </c>
      <c r="U7" s="96"/>
      <c r="V7" s="83" t="s">
        <v>58</v>
      </c>
      <c r="W7" s="58">
        <f t="shared" si="0"/>
        <v>5</v>
      </c>
      <c r="X7" s="59">
        <f t="shared" si="1"/>
        <v>0</v>
      </c>
      <c r="Y7" s="59">
        <f t="shared" si="2"/>
        <v>2</v>
      </c>
      <c r="Z7" s="59" t="str">
        <f t="shared" si="3"/>
        <v>Tu año esta en riesgo de perderse</v>
      </c>
      <c r="AA7" s="57">
        <f t="shared" si="4"/>
        <v>2</v>
      </c>
      <c r="AC7" s="122" t="s">
        <v>3</v>
      </c>
      <c r="AD7" s="123">
        <f>COUNTIF($AA$4:$AA$40,"1")</f>
        <v>5</v>
      </c>
      <c r="AF7" s="79">
        <f t="shared" si="5"/>
        <v>5</v>
      </c>
      <c r="AG7" s="57">
        <v>4</v>
      </c>
      <c r="AI7" s="41" t="s">
        <v>2</v>
      </c>
      <c r="AJ7">
        <f>COUNTIF($AG$4:$AG$39,"0")</f>
        <v>11</v>
      </c>
      <c r="AK7" s="42">
        <f>AJ7/$AJ$17</f>
        <v>0.30555555555555558</v>
      </c>
      <c r="AN7" s="124" t="s">
        <v>2</v>
      </c>
      <c r="AO7" s="125">
        <f>COUNTIF($AF$4:$AF$40,"0")</f>
        <v>7</v>
      </c>
    </row>
    <row r="8" spans="1:66" ht="16.5" thickBot="1" x14ac:dyDescent="0.3">
      <c r="A8" s="118">
        <v>5</v>
      </c>
      <c r="B8" s="119"/>
      <c r="C8" s="120" t="s">
        <v>66</v>
      </c>
      <c r="D8" s="83"/>
      <c r="E8" s="96"/>
      <c r="F8" s="96"/>
      <c r="G8" s="83"/>
      <c r="H8" s="96"/>
      <c r="I8" s="96"/>
      <c r="J8" s="83" t="s">
        <v>58</v>
      </c>
      <c r="K8" s="83"/>
      <c r="L8" s="83"/>
      <c r="M8" s="96"/>
      <c r="N8" s="96" t="s">
        <v>58</v>
      </c>
      <c r="O8" s="96" t="s">
        <v>58</v>
      </c>
      <c r="P8" s="83"/>
      <c r="Q8" s="96"/>
      <c r="R8" s="96"/>
      <c r="S8" s="83"/>
      <c r="T8" s="96"/>
      <c r="U8" s="96" t="s">
        <v>58</v>
      </c>
      <c r="V8" s="83" t="s">
        <v>58</v>
      </c>
      <c r="W8" s="58">
        <f t="shared" si="0"/>
        <v>5</v>
      </c>
      <c r="X8" s="59">
        <f t="shared" si="1"/>
        <v>0</v>
      </c>
      <c r="Y8" s="59">
        <f t="shared" si="2"/>
        <v>2</v>
      </c>
      <c r="Z8" s="59" t="str">
        <f>IF(AND(X8=0,Y8=0),"Felicitaciones por el buen rendimiento Académico",IF(AND(X8=1,Y8=1),"Pasas con logros Pendientes",IF(AND(X8=1,Y8=0),"Pasas con logros Pendientes",IF(AND(X8=0,Y8=1),"Pasas con logros Pendientes","Tu año esta en riesgo de perderse"))))</f>
        <v>Tu año esta en riesgo de perderse</v>
      </c>
      <c r="AA8" s="57">
        <f t="shared" si="4"/>
        <v>2</v>
      </c>
      <c r="AC8" s="122" t="s">
        <v>4</v>
      </c>
      <c r="AD8" s="123">
        <f>COUNTIF($AA$4:$AA$40,"2")</f>
        <v>4</v>
      </c>
      <c r="AF8" s="79">
        <f t="shared" si="5"/>
        <v>5</v>
      </c>
      <c r="AG8" s="57">
        <v>3</v>
      </c>
      <c r="AI8" s="41" t="s">
        <v>3</v>
      </c>
      <c r="AJ8">
        <f>COUNTIF($AG$4:$AG$39,"1")</f>
        <v>10</v>
      </c>
      <c r="AK8" s="42">
        <f t="shared" ref="AK8:AK15" si="6">AJ8/$AJ$17</f>
        <v>0.27777777777777779</v>
      </c>
      <c r="AN8" s="124" t="s">
        <v>3</v>
      </c>
      <c r="AO8" s="125">
        <f>COUNTIF($AF$4:$AF$40,"1")</f>
        <v>4</v>
      </c>
    </row>
    <row r="9" spans="1:66" ht="16.5" thickBot="1" x14ac:dyDescent="0.3">
      <c r="A9" s="118">
        <v>6</v>
      </c>
      <c r="B9" s="119"/>
      <c r="C9" s="120" t="s">
        <v>67</v>
      </c>
      <c r="D9" s="83"/>
      <c r="E9" s="96"/>
      <c r="F9" s="96"/>
      <c r="G9" s="83"/>
      <c r="H9" s="96"/>
      <c r="I9" s="96"/>
      <c r="J9" s="83"/>
      <c r="K9" s="83"/>
      <c r="L9" s="83"/>
      <c r="M9" s="96"/>
      <c r="N9" s="96"/>
      <c r="O9" s="96"/>
      <c r="P9" s="83"/>
      <c r="Q9" s="96"/>
      <c r="R9" s="96"/>
      <c r="S9" s="83"/>
      <c r="T9" s="96"/>
      <c r="U9" s="96"/>
      <c r="V9" s="83"/>
      <c r="W9" s="58">
        <f t="shared" si="0"/>
        <v>0</v>
      </c>
      <c r="X9" s="59">
        <f t="shared" si="1"/>
        <v>0</v>
      </c>
      <c r="Y9" s="59">
        <f t="shared" si="2"/>
        <v>0</v>
      </c>
      <c r="Z9" s="59" t="str">
        <f t="shared" si="3"/>
        <v>Felicitaciones por el buen rendimiento Académico</v>
      </c>
      <c r="AA9" s="57">
        <f t="shared" si="4"/>
        <v>0</v>
      </c>
      <c r="AC9" s="122" t="s">
        <v>5</v>
      </c>
      <c r="AD9" s="123">
        <f>COUNTIF($AA$4:$AA$40,"3")</f>
        <v>2</v>
      </c>
      <c r="AF9" s="79">
        <f t="shared" si="5"/>
        <v>0</v>
      </c>
      <c r="AG9" s="57">
        <v>0</v>
      </c>
      <c r="AI9" s="41" t="s">
        <v>4</v>
      </c>
      <c r="AJ9">
        <f>COUNTIF($AG$4:$AG$39,"2")</f>
        <v>6</v>
      </c>
      <c r="AK9" s="42">
        <f t="shared" si="6"/>
        <v>0.16666666666666666</v>
      </c>
      <c r="AN9" s="124" t="s">
        <v>4</v>
      </c>
      <c r="AO9" s="125">
        <f>COUNTIF($AF$4:$AF$40,"2")</f>
        <v>4</v>
      </c>
    </row>
    <row r="10" spans="1:66" ht="16.5" thickBot="1" x14ac:dyDescent="0.3">
      <c r="A10" s="118">
        <v>7</v>
      </c>
      <c r="B10" s="119"/>
      <c r="C10" s="120" t="s">
        <v>68</v>
      </c>
      <c r="D10" s="83"/>
      <c r="E10" s="96"/>
      <c r="F10" s="96" t="s">
        <v>58</v>
      </c>
      <c r="G10" s="83"/>
      <c r="H10" s="96"/>
      <c r="I10" s="96"/>
      <c r="J10" s="83"/>
      <c r="K10" s="83"/>
      <c r="L10" s="83"/>
      <c r="M10" s="96"/>
      <c r="N10" s="96"/>
      <c r="O10" s="96"/>
      <c r="P10" s="83"/>
      <c r="Q10" s="96"/>
      <c r="R10" s="96"/>
      <c r="S10" s="83"/>
      <c r="T10" s="96"/>
      <c r="U10" s="96"/>
      <c r="V10" s="83"/>
      <c r="W10" s="58">
        <f t="shared" si="0"/>
        <v>1</v>
      </c>
      <c r="X10" s="59">
        <f t="shared" si="1"/>
        <v>0</v>
      </c>
      <c r="Y10" s="59">
        <f t="shared" si="2"/>
        <v>0</v>
      </c>
      <c r="Z10" s="59" t="str">
        <f t="shared" si="3"/>
        <v>Felicitaciones por el buen rendimiento Académico</v>
      </c>
      <c r="AA10" s="57">
        <f t="shared" si="4"/>
        <v>0</v>
      </c>
      <c r="AC10" s="122" t="s">
        <v>6</v>
      </c>
      <c r="AD10" s="123">
        <f>COUNTIF($AA$4:$AA$40,"4")</f>
        <v>0</v>
      </c>
      <c r="AF10" s="79">
        <f t="shared" si="5"/>
        <v>1</v>
      </c>
      <c r="AG10" s="57">
        <v>0</v>
      </c>
      <c r="AI10" s="41" t="s">
        <v>5</v>
      </c>
      <c r="AJ10">
        <f>COUNTIF($AG$4:$AG$39,"3")</f>
        <v>3</v>
      </c>
      <c r="AK10" s="42">
        <f t="shared" si="6"/>
        <v>8.3333333333333329E-2</v>
      </c>
      <c r="AN10" s="124" t="s">
        <v>5</v>
      </c>
      <c r="AO10" s="125">
        <f>COUNTIF($AF$4:$AF$40,"3")</f>
        <v>3</v>
      </c>
    </row>
    <row r="11" spans="1:66" ht="16.5" thickBot="1" x14ac:dyDescent="0.3">
      <c r="A11" s="118">
        <v>8</v>
      </c>
      <c r="B11" s="119"/>
      <c r="C11" s="126" t="s">
        <v>69</v>
      </c>
      <c r="D11" s="83"/>
      <c r="E11" s="96" t="s">
        <v>58</v>
      </c>
      <c r="F11" s="96" t="s">
        <v>58</v>
      </c>
      <c r="G11" s="83"/>
      <c r="H11" s="96" t="s">
        <v>58</v>
      </c>
      <c r="I11" s="96" t="s">
        <v>58</v>
      </c>
      <c r="J11" s="83"/>
      <c r="K11" s="83" t="s">
        <v>58</v>
      </c>
      <c r="L11" s="83"/>
      <c r="M11" s="96"/>
      <c r="N11" s="96" t="s">
        <v>58</v>
      </c>
      <c r="O11" s="96" t="s">
        <v>58</v>
      </c>
      <c r="P11" s="83"/>
      <c r="Q11" s="96" t="s">
        <v>58</v>
      </c>
      <c r="R11" s="96" t="s">
        <v>58</v>
      </c>
      <c r="S11" s="83"/>
      <c r="T11" s="96"/>
      <c r="U11" s="96" t="s">
        <v>58</v>
      </c>
      <c r="V11" s="83" t="s">
        <v>58</v>
      </c>
      <c r="W11" s="58">
        <f t="shared" si="0"/>
        <v>11</v>
      </c>
      <c r="X11" s="59">
        <f t="shared" si="1"/>
        <v>0</v>
      </c>
      <c r="Y11" s="59">
        <f t="shared" si="2"/>
        <v>2</v>
      </c>
      <c r="Z11" s="59" t="str">
        <f t="shared" si="3"/>
        <v>Tu año esta en riesgo de perderse</v>
      </c>
      <c r="AA11" s="57">
        <f t="shared" si="4"/>
        <v>2</v>
      </c>
      <c r="AC11" s="122" t="s">
        <v>7</v>
      </c>
      <c r="AD11" s="123">
        <f>COUNTIF($AA$4:$AA$40,"5")</f>
        <v>0</v>
      </c>
      <c r="AF11" s="79">
        <f t="shared" si="5"/>
        <v>11</v>
      </c>
      <c r="AG11" s="57">
        <v>5</v>
      </c>
      <c r="AI11" s="41" t="s">
        <v>6</v>
      </c>
      <c r="AJ11">
        <f>COUNTIF($AG$4:$AG$39,"4")</f>
        <v>2</v>
      </c>
      <c r="AK11" s="42">
        <f t="shared" si="6"/>
        <v>5.5555555555555552E-2</v>
      </c>
      <c r="AN11" s="124" t="s">
        <v>6</v>
      </c>
      <c r="AO11" s="125">
        <f>COUNTIF($AF$4:$AF$40,"4")</f>
        <v>3</v>
      </c>
    </row>
    <row r="12" spans="1:66" ht="16.5" thickBot="1" x14ac:dyDescent="0.3">
      <c r="A12" s="118">
        <v>9</v>
      </c>
      <c r="B12" s="119"/>
      <c r="C12" s="120" t="s">
        <v>70</v>
      </c>
      <c r="D12" s="83"/>
      <c r="E12" s="96"/>
      <c r="F12" s="96" t="s">
        <v>58</v>
      </c>
      <c r="G12" s="83"/>
      <c r="H12" s="96"/>
      <c r="I12" s="96"/>
      <c r="J12" s="83"/>
      <c r="K12" s="83"/>
      <c r="L12" s="83"/>
      <c r="M12" s="96"/>
      <c r="N12" s="96"/>
      <c r="O12" s="96" t="s">
        <v>58</v>
      </c>
      <c r="P12" s="83"/>
      <c r="Q12" s="96"/>
      <c r="R12" s="96"/>
      <c r="S12" s="83"/>
      <c r="T12" s="96"/>
      <c r="U12" s="96"/>
      <c r="V12" s="83"/>
      <c r="W12" s="58">
        <f t="shared" si="0"/>
        <v>2</v>
      </c>
      <c r="X12" s="59">
        <f t="shared" si="1"/>
        <v>0</v>
      </c>
      <c r="Y12" s="59">
        <f t="shared" si="2"/>
        <v>0</v>
      </c>
      <c r="Z12" s="59" t="str">
        <f t="shared" si="3"/>
        <v>Felicitaciones por el buen rendimiento Académico</v>
      </c>
      <c r="AA12" s="57">
        <f t="shared" si="4"/>
        <v>0</v>
      </c>
      <c r="AC12" s="122" t="s">
        <v>8</v>
      </c>
      <c r="AD12" s="123">
        <f>COUNTIF($AA$4:$AA$40,"6")</f>
        <v>0</v>
      </c>
      <c r="AF12" s="79">
        <f t="shared" si="5"/>
        <v>2</v>
      </c>
      <c r="AG12" s="57">
        <v>0</v>
      </c>
      <c r="AI12" s="41" t="s">
        <v>7</v>
      </c>
      <c r="AJ12">
        <f>COUNTIF($AG$4:$AG$39,"5")</f>
        <v>3</v>
      </c>
      <c r="AK12" s="42">
        <f t="shared" si="6"/>
        <v>8.3333333333333329E-2</v>
      </c>
      <c r="AN12" s="124" t="s">
        <v>7</v>
      </c>
      <c r="AO12" s="125">
        <f>COUNTIF($AF$4:$AF$40,"5")</f>
        <v>7</v>
      </c>
    </row>
    <row r="13" spans="1:66" ht="16.5" thickBot="1" x14ac:dyDescent="0.3">
      <c r="A13" s="118">
        <v>10</v>
      </c>
      <c r="B13" s="119"/>
      <c r="C13" s="120" t="s">
        <v>71</v>
      </c>
      <c r="D13" s="83"/>
      <c r="E13" s="96"/>
      <c r="F13" s="96"/>
      <c r="G13" s="83"/>
      <c r="H13" s="96"/>
      <c r="I13" s="96"/>
      <c r="J13" s="83"/>
      <c r="K13" s="83"/>
      <c r="L13" s="83"/>
      <c r="M13" s="96"/>
      <c r="N13" s="96"/>
      <c r="O13" s="96"/>
      <c r="P13" s="83"/>
      <c r="Q13" s="96"/>
      <c r="R13" s="96"/>
      <c r="S13" s="83"/>
      <c r="T13" s="96"/>
      <c r="U13" s="96"/>
      <c r="V13" s="83"/>
      <c r="W13" s="58">
        <f t="shared" si="0"/>
        <v>0</v>
      </c>
      <c r="X13" s="59">
        <f t="shared" si="1"/>
        <v>0</v>
      </c>
      <c r="Y13" s="59">
        <f t="shared" si="2"/>
        <v>0</v>
      </c>
      <c r="Z13" s="59" t="str">
        <f t="shared" si="3"/>
        <v>Felicitaciones por el buen rendimiento Académico</v>
      </c>
      <c r="AA13" s="57">
        <f t="shared" si="4"/>
        <v>0</v>
      </c>
      <c r="AC13" s="122" t="s">
        <v>9</v>
      </c>
      <c r="AD13" s="123">
        <f>COUNTIF($AA$4:$AA$40,"7")</f>
        <v>0</v>
      </c>
      <c r="AF13" s="79">
        <f t="shared" si="5"/>
        <v>0</v>
      </c>
      <c r="AG13" s="57">
        <v>0</v>
      </c>
      <c r="AI13" s="41" t="s">
        <v>8</v>
      </c>
      <c r="AJ13">
        <f>COUNTIF($AG$4:$AG$39,"6")</f>
        <v>0</v>
      </c>
      <c r="AK13" s="42">
        <f t="shared" si="6"/>
        <v>0</v>
      </c>
      <c r="AN13" s="124" t="s">
        <v>8</v>
      </c>
      <c r="AO13" s="125">
        <f>COUNTIF($AF$4:$AF$40,"6")</f>
        <v>1</v>
      </c>
    </row>
    <row r="14" spans="1:66" ht="16.5" thickBot="1" x14ac:dyDescent="0.3">
      <c r="A14" s="118">
        <v>11</v>
      </c>
      <c r="B14" s="119"/>
      <c r="C14" s="120" t="s">
        <v>72</v>
      </c>
      <c r="D14" s="83"/>
      <c r="E14" s="96"/>
      <c r="F14" s="96"/>
      <c r="G14" s="83"/>
      <c r="H14" s="96"/>
      <c r="I14" s="96"/>
      <c r="J14" s="83"/>
      <c r="K14" s="83"/>
      <c r="L14" s="83"/>
      <c r="M14" s="96"/>
      <c r="N14" s="96"/>
      <c r="O14" s="96"/>
      <c r="P14" s="83"/>
      <c r="Q14" s="96"/>
      <c r="R14" s="96"/>
      <c r="S14" s="83"/>
      <c r="T14" s="96"/>
      <c r="U14" s="96"/>
      <c r="V14" s="83"/>
      <c r="W14" s="58">
        <f t="shared" si="0"/>
        <v>0</v>
      </c>
      <c r="X14" s="59">
        <f t="shared" si="1"/>
        <v>0</v>
      </c>
      <c r="Y14" s="59">
        <f t="shared" si="2"/>
        <v>0</v>
      </c>
      <c r="Z14" s="59" t="str">
        <f t="shared" si="3"/>
        <v>Felicitaciones por el buen rendimiento Académico</v>
      </c>
      <c r="AA14" s="57">
        <f t="shared" si="4"/>
        <v>0</v>
      </c>
      <c r="AC14" s="122" t="s">
        <v>10</v>
      </c>
      <c r="AD14" s="123">
        <f>COUNTIF($AA$4:$AA$40,"8")</f>
        <v>0</v>
      </c>
      <c r="AF14" s="79">
        <f t="shared" si="5"/>
        <v>0</v>
      </c>
      <c r="AG14" s="57">
        <v>0</v>
      </c>
      <c r="AI14" s="41" t="s">
        <v>9</v>
      </c>
      <c r="AJ14">
        <f>COUNTIF($AG$4:$AG$39,"7")</f>
        <v>1</v>
      </c>
      <c r="AK14" s="42">
        <f t="shared" si="6"/>
        <v>2.7777777777777776E-2</v>
      </c>
      <c r="AN14" s="124" t="s">
        <v>9</v>
      </c>
      <c r="AO14" s="125">
        <f>COUNTIF($AF$4:$AF$40,"7")</f>
        <v>1</v>
      </c>
    </row>
    <row r="15" spans="1:66" ht="16.5" thickBot="1" x14ac:dyDescent="0.3">
      <c r="A15" s="118">
        <v>12</v>
      </c>
      <c r="B15" s="119"/>
      <c r="C15" s="120" t="s">
        <v>73</v>
      </c>
      <c r="D15" s="83"/>
      <c r="E15" s="96"/>
      <c r="F15" s="96" t="s">
        <v>58</v>
      </c>
      <c r="G15" s="83"/>
      <c r="H15" s="96"/>
      <c r="I15" s="96"/>
      <c r="J15" s="83"/>
      <c r="K15" s="83"/>
      <c r="L15" s="83"/>
      <c r="M15" s="96"/>
      <c r="N15" s="96"/>
      <c r="O15" s="96" t="s">
        <v>58</v>
      </c>
      <c r="P15" s="83"/>
      <c r="Q15" s="96"/>
      <c r="R15" s="96" t="s">
        <v>58</v>
      </c>
      <c r="S15" s="83"/>
      <c r="T15" s="96"/>
      <c r="U15" s="96"/>
      <c r="V15" s="83"/>
      <c r="W15" s="58">
        <f t="shared" si="0"/>
        <v>3</v>
      </c>
      <c r="X15" s="59">
        <f t="shared" si="1"/>
        <v>0</v>
      </c>
      <c r="Y15" s="59">
        <f t="shared" si="2"/>
        <v>0</v>
      </c>
      <c r="Z15" s="59" t="str">
        <f t="shared" si="3"/>
        <v>Felicitaciones por el buen rendimiento Académico</v>
      </c>
      <c r="AA15" s="57">
        <f t="shared" si="4"/>
        <v>0</v>
      </c>
      <c r="AC15" s="60"/>
      <c r="AF15" s="79">
        <f t="shared" si="5"/>
        <v>3</v>
      </c>
      <c r="AG15" s="57">
        <v>1</v>
      </c>
      <c r="AI15" s="41" t="s">
        <v>10</v>
      </c>
      <c r="AJ15">
        <f>COUNTIF($AG$4:$AG$39,"8")</f>
        <v>0</v>
      </c>
      <c r="AK15" s="42">
        <f t="shared" si="6"/>
        <v>0</v>
      </c>
      <c r="AN15" s="124" t="s">
        <v>10</v>
      </c>
      <c r="AO15" s="125">
        <f>COUNTIF($AF$4:$AF$40,"8")</f>
        <v>2</v>
      </c>
    </row>
    <row r="16" spans="1:66" s="56" customFormat="1" ht="15.75" thickBot="1" x14ac:dyDescent="0.3">
      <c r="A16" s="118">
        <v>13</v>
      </c>
      <c r="B16" s="119"/>
      <c r="C16" s="120" t="s">
        <v>74</v>
      </c>
      <c r="D16" s="83"/>
      <c r="E16" s="96" t="s">
        <v>58</v>
      </c>
      <c r="F16" s="96"/>
      <c r="G16" s="83"/>
      <c r="H16" s="96" t="s">
        <v>58</v>
      </c>
      <c r="I16" s="96" t="s">
        <v>58</v>
      </c>
      <c r="J16" s="83" t="s">
        <v>58</v>
      </c>
      <c r="K16" s="83" t="s">
        <v>58</v>
      </c>
      <c r="L16" s="83"/>
      <c r="M16" s="96"/>
      <c r="N16" s="96"/>
      <c r="O16" s="96" t="s">
        <v>58</v>
      </c>
      <c r="P16" s="83"/>
      <c r="Q16" s="96" t="s">
        <v>58</v>
      </c>
      <c r="R16" s="96" t="s">
        <v>58</v>
      </c>
      <c r="S16" s="83"/>
      <c r="T16" s="96" t="s">
        <v>58</v>
      </c>
      <c r="U16" s="96"/>
      <c r="V16" s="83" t="s">
        <v>58</v>
      </c>
      <c r="W16" s="127">
        <f t="shared" si="0"/>
        <v>10</v>
      </c>
      <c r="X16" s="59">
        <f t="shared" si="1"/>
        <v>0</v>
      </c>
      <c r="Y16" s="59">
        <f t="shared" si="2"/>
        <v>3</v>
      </c>
      <c r="Z16" s="59" t="str">
        <f t="shared" si="3"/>
        <v>Tu año esta en riesgo de perderse</v>
      </c>
      <c r="AA16" s="57">
        <f t="shared" si="4"/>
        <v>3</v>
      </c>
      <c r="AB16" s="57"/>
      <c r="AC16" s="60"/>
      <c r="AD16" s="57"/>
      <c r="AE16" s="57"/>
      <c r="AF16" s="79">
        <f t="shared" si="5"/>
        <v>10</v>
      </c>
      <c r="AG16" s="57">
        <v>5</v>
      </c>
      <c r="AH16" s="57"/>
      <c r="AI16" s="41"/>
      <c r="AJ16"/>
      <c r="AK16" s="42"/>
      <c r="AL16" s="57"/>
      <c r="AM16" s="57"/>
      <c r="AN16" s="124" t="s">
        <v>11</v>
      </c>
      <c r="AO16" s="125">
        <f>COUNTIF($AF$4:$AF$40,"9")</f>
        <v>2</v>
      </c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  <c r="BM16" s="57"/>
      <c r="BN16" s="57"/>
    </row>
    <row r="17" spans="1:66" s="56" customFormat="1" ht="15.75" thickBot="1" x14ac:dyDescent="0.3">
      <c r="A17" s="118">
        <v>14</v>
      </c>
      <c r="B17" s="119"/>
      <c r="C17" s="128" t="s">
        <v>75</v>
      </c>
      <c r="D17" s="83"/>
      <c r="E17" s="96" t="s">
        <v>58</v>
      </c>
      <c r="F17" s="96" t="s">
        <v>58</v>
      </c>
      <c r="G17" s="83"/>
      <c r="H17" s="96"/>
      <c r="I17" s="96"/>
      <c r="J17" s="83"/>
      <c r="K17" s="83"/>
      <c r="L17" s="83"/>
      <c r="M17" s="96"/>
      <c r="N17" s="96" t="s">
        <v>58</v>
      </c>
      <c r="O17" s="96" t="s">
        <v>58</v>
      </c>
      <c r="P17" s="83"/>
      <c r="Q17" s="96" t="s">
        <v>58</v>
      </c>
      <c r="R17" s="96" t="s">
        <v>58</v>
      </c>
      <c r="S17" s="83"/>
      <c r="T17" s="96" t="s">
        <v>58</v>
      </c>
      <c r="U17" s="96" t="s">
        <v>58</v>
      </c>
      <c r="V17" s="83" t="s">
        <v>58</v>
      </c>
      <c r="W17" s="127"/>
      <c r="X17" s="59">
        <f t="shared" si="1"/>
        <v>0</v>
      </c>
      <c r="Y17" s="59">
        <f t="shared" si="2"/>
        <v>1</v>
      </c>
      <c r="Z17" s="59" t="str">
        <f t="shared" si="3"/>
        <v>Pasas con logros Pendientes</v>
      </c>
      <c r="AA17" s="57">
        <f t="shared" si="4"/>
        <v>1</v>
      </c>
      <c r="AB17" s="57"/>
      <c r="AC17" s="60"/>
      <c r="AD17" s="57"/>
      <c r="AE17" s="57"/>
      <c r="AF17" s="79">
        <f t="shared" si="5"/>
        <v>9</v>
      </c>
      <c r="AG17" s="57">
        <v>5</v>
      </c>
      <c r="AH17" s="57"/>
      <c r="AI17"/>
      <c r="AJ17">
        <f>SUM(AJ7:AJ16)</f>
        <v>36</v>
      </c>
      <c r="AK17"/>
      <c r="AL17" s="57"/>
      <c r="AM17" s="57"/>
      <c r="AN17" s="124" t="s">
        <v>12</v>
      </c>
      <c r="AO17" s="125">
        <f>COUNTIF($AF$4:$AF$40,"10")</f>
        <v>1</v>
      </c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</row>
    <row r="18" spans="1:66" ht="16.5" thickBot="1" x14ac:dyDescent="0.3">
      <c r="A18" s="118">
        <v>15</v>
      </c>
      <c r="B18" s="119"/>
      <c r="C18" s="120" t="s">
        <v>76</v>
      </c>
      <c r="D18" s="83"/>
      <c r="E18" s="96"/>
      <c r="F18" s="96"/>
      <c r="G18" s="83"/>
      <c r="H18" s="96"/>
      <c r="I18" s="96"/>
      <c r="J18" s="83"/>
      <c r="K18" s="83"/>
      <c r="L18" s="83"/>
      <c r="M18" s="96"/>
      <c r="N18" s="96"/>
      <c r="O18" s="96" t="s">
        <v>58</v>
      </c>
      <c r="P18" s="83"/>
      <c r="Q18" s="96"/>
      <c r="R18" s="96"/>
      <c r="S18" s="83"/>
      <c r="T18" s="96" t="s">
        <v>58</v>
      </c>
      <c r="U18" s="96" t="s">
        <v>58</v>
      </c>
      <c r="V18" s="83"/>
      <c r="W18" s="58">
        <f t="shared" si="0"/>
        <v>3</v>
      </c>
      <c r="X18" s="59">
        <f t="shared" si="1"/>
        <v>0</v>
      </c>
      <c r="Y18" s="59">
        <f t="shared" si="2"/>
        <v>0</v>
      </c>
      <c r="Z18" s="59" t="str">
        <f t="shared" si="3"/>
        <v>Felicitaciones por el buen rendimiento Académico</v>
      </c>
      <c r="AA18" s="57">
        <f t="shared" si="4"/>
        <v>0</v>
      </c>
      <c r="AF18" s="79">
        <f t="shared" si="5"/>
        <v>3</v>
      </c>
      <c r="AG18" s="57">
        <v>1</v>
      </c>
      <c r="AN18" s="124" t="s">
        <v>13</v>
      </c>
      <c r="AO18" s="125">
        <f>COUNTIF($AF$4:$AF$40,"11")</f>
        <v>2</v>
      </c>
    </row>
    <row r="19" spans="1:66" ht="16.5" thickBot="1" x14ac:dyDescent="0.3">
      <c r="A19" s="118">
        <v>16</v>
      </c>
      <c r="B19" s="119"/>
      <c r="C19" s="120" t="s">
        <v>77</v>
      </c>
      <c r="D19" s="83"/>
      <c r="E19" s="96"/>
      <c r="F19" s="96"/>
      <c r="G19" s="83"/>
      <c r="H19" s="96"/>
      <c r="I19" s="96"/>
      <c r="J19" s="83"/>
      <c r="K19" s="83"/>
      <c r="L19" s="83"/>
      <c r="M19" s="96"/>
      <c r="N19" s="96"/>
      <c r="O19" s="96"/>
      <c r="P19" s="83"/>
      <c r="Q19" s="96"/>
      <c r="R19" s="96"/>
      <c r="S19" s="83"/>
      <c r="T19" s="96"/>
      <c r="U19" s="96"/>
      <c r="V19" s="83" t="s">
        <v>58</v>
      </c>
      <c r="W19" s="58">
        <f t="shared" si="0"/>
        <v>1</v>
      </c>
      <c r="X19" s="59">
        <f t="shared" si="1"/>
        <v>0</v>
      </c>
      <c r="Y19" s="59">
        <f t="shared" si="2"/>
        <v>1</v>
      </c>
      <c r="Z19" s="59" t="str">
        <f t="shared" si="3"/>
        <v>Pasas con logros Pendientes</v>
      </c>
      <c r="AA19" s="57">
        <f t="shared" si="4"/>
        <v>1</v>
      </c>
      <c r="AF19" s="79">
        <f t="shared" si="5"/>
        <v>1</v>
      </c>
      <c r="AG19" s="57">
        <v>1</v>
      </c>
      <c r="AN19" s="124" t="s">
        <v>14</v>
      </c>
      <c r="AO19" s="125">
        <f>COUNTIF($AF$4:$AF$40,"12")</f>
        <v>0</v>
      </c>
    </row>
    <row r="20" spans="1:66" ht="16.5" thickBot="1" x14ac:dyDescent="0.3">
      <c r="A20" s="118">
        <v>17</v>
      </c>
      <c r="B20" s="119"/>
      <c r="C20" s="120" t="s">
        <v>78</v>
      </c>
      <c r="D20" s="83"/>
      <c r="E20" s="96"/>
      <c r="F20" s="96"/>
      <c r="G20" s="83"/>
      <c r="H20" s="96"/>
      <c r="I20" s="96"/>
      <c r="J20" s="83"/>
      <c r="K20" s="83"/>
      <c r="L20" s="83"/>
      <c r="M20" s="96"/>
      <c r="N20" s="96"/>
      <c r="O20" s="96"/>
      <c r="P20" s="83"/>
      <c r="Q20" s="96"/>
      <c r="R20" s="96"/>
      <c r="S20" s="83"/>
      <c r="T20" s="96"/>
      <c r="U20" s="96"/>
      <c r="V20" s="83"/>
      <c r="W20" s="58">
        <f t="shared" si="0"/>
        <v>0</v>
      </c>
      <c r="X20" s="59">
        <f t="shared" si="1"/>
        <v>0</v>
      </c>
      <c r="Y20" s="59">
        <f t="shared" si="2"/>
        <v>0</v>
      </c>
      <c r="Z20" s="59" t="str">
        <f t="shared" si="3"/>
        <v>Felicitaciones por el buen rendimiento Académico</v>
      </c>
      <c r="AA20" s="57">
        <f t="shared" si="4"/>
        <v>0</v>
      </c>
      <c r="AF20" s="79">
        <f t="shared" si="5"/>
        <v>0</v>
      </c>
      <c r="AG20" s="57">
        <v>0</v>
      </c>
      <c r="AN20" s="124" t="s">
        <v>15</v>
      </c>
      <c r="AO20" s="125">
        <f>COUNTIF($AF$4:$AF$40,"13")</f>
        <v>0</v>
      </c>
    </row>
    <row r="21" spans="1:66" ht="16.5" thickBot="1" x14ac:dyDescent="0.3">
      <c r="A21" s="118">
        <v>18</v>
      </c>
      <c r="B21" s="119"/>
      <c r="C21" s="120" t="s">
        <v>79</v>
      </c>
      <c r="D21" s="83"/>
      <c r="E21" s="96"/>
      <c r="F21" s="96"/>
      <c r="G21" s="83"/>
      <c r="H21" s="96" t="s">
        <v>80</v>
      </c>
      <c r="I21" s="96" t="s">
        <v>80</v>
      </c>
      <c r="J21" s="83"/>
      <c r="K21" s="83"/>
      <c r="L21" s="83"/>
      <c r="M21" s="96"/>
      <c r="N21" s="96"/>
      <c r="O21" s="96" t="s">
        <v>58</v>
      </c>
      <c r="P21" s="83"/>
      <c r="Q21" s="96" t="s">
        <v>58</v>
      </c>
      <c r="R21" s="96"/>
      <c r="S21" s="83"/>
      <c r="T21" s="96"/>
      <c r="U21" s="96" t="s">
        <v>58</v>
      </c>
      <c r="V21" s="83"/>
      <c r="W21" s="58">
        <f t="shared" si="0"/>
        <v>5</v>
      </c>
      <c r="X21" s="59">
        <f t="shared" si="1"/>
        <v>0</v>
      </c>
      <c r="Y21" s="59">
        <f t="shared" si="2"/>
        <v>0</v>
      </c>
      <c r="Z21" s="59" t="str">
        <f t="shared" si="3"/>
        <v>Felicitaciones por el buen rendimiento Académico</v>
      </c>
      <c r="AA21" s="57">
        <f t="shared" si="4"/>
        <v>0</v>
      </c>
      <c r="AF21" s="79">
        <f t="shared" si="5"/>
        <v>5</v>
      </c>
      <c r="AG21" s="57">
        <v>0</v>
      </c>
      <c r="AN21" s="124" t="s">
        <v>16</v>
      </c>
      <c r="AO21" s="125">
        <f>COUNTIF($AF$4:$AF$40,"14")</f>
        <v>0</v>
      </c>
    </row>
    <row r="22" spans="1:66" ht="16.5" thickBot="1" x14ac:dyDescent="0.3">
      <c r="A22" s="118">
        <v>19</v>
      </c>
      <c r="B22" s="119"/>
      <c r="C22" s="129" t="s">
        <v>81</v>
      </c>
      <c r="D22" s="83"/>
      <c r="E22" s="96" t="s">
        <v>58</v>
      </c>
      <c r="F22" s="96"/>
      <c r="G22" s="83"/>
      <c r="H22" s="96" t="s">
        <v>58</v>
      </c>
      <c r="I22" s="96" t="s">
        <v>58</v>
      </c>
      <c r="J22" s="83" t="s">
        <v>58</v>
      </c>
      <c r="K22" s="83"/>
      <c r="L22" s="83"/>
      <c r="M22" s="96"/>
      <c r="N22" s="96" t="s">
        <v>58</v>
      </c>
      <c r="O22" s="96"/>
      <c r="P22" s="83"/>
      <c r="Q22" s="96" t="s">
        <v>58</v>
      </c>
      <c r="R22" s="96"/>
      <c r="S22" s="83"/>
      <c r="T22" s="96" t="s">
        <v>58</v>
      </c>
      <c r="U22" s="96" t="s">
        <v>58</v>
      </c>
      <c r="V22" s="83" t="s">
        <v>58</v>
      </c>
      <c r="W22" s="58">
        <f t="shared" si="0"/>
        <v>9</v>
      </c>
      <c r="X22" s="59">
        <f t="shared" si="1"/>
        <v>0</v>
      </c>
      <c r="Y22" s="59">
        <f t="shared" si="2"/>
        <v>2</v>
      </c>
      <c r="Z22" s="59" t="str">
        <f t="shared" si="3"/>
        <v>Tu año esta en riesgo de perderse</v>
      </c>
      <c r="AA22" s="57">
        <f t="shared" si="4"/>
        <v>2</v>
      </c>
      <c r="AF22" s="79">
        <f t="shared" si="5"/>
        <v>9</v>
      </c>
      <c r="AG22" s="57">
        <v>4</v>
      </c>
      <c r="AN22" s="124"/>
      <c r="AO22" s="125"/>
    </row>
    <row r="23" spans="1:66" ht="16.5" thickBot="1" x14ac:dyDescent="0.3">
      <c r="A23" s="118">
        <v>20</v>
      </c>
      <c r="B23" s="119"/>
      <c r="C23" s="129" t="s">
        <v>82</v>
      </c>
      <c r="D23" s="83"/>
      <c r="E23" s="96"/>
      <c r="F23" s="96" t="s">
        <v>58</v>
      </c>
      <c r="G23" s="83"/>
      <c r="H23" s="96"/>
      <c r="I23" s="96"/>
      <c r="J23" s="83"/>
      <c r="K23" s="83"/>
      <c r="L23" s="83"/>
      <c r="M23" s="96"/>
      <c r="N23" s="96" t="s">
        <v>58</v>
      </c>
      <c r="O23" s="96" t="s">
        <v>58</v>
      </c>
      <c r="P23" s="83"/>
      <c r="Q23" s="96"/>
      <c r="R23" s="96"/>
      <c r="S23" s="83"/>
      <c r="T23" s="96"/>
      <c r="U23" s="96"/>
      <c r="V23" s="83"/>
      <c r="W23" s="58">
        <f t="shared" si="0"/>
        <v>3</v>
      </c>
      <c r="X23" s="59">
        <f t="shared" si="1"/>
        <v>0</v>
      </c>
      <c r="Y23" s="59">
        <f t="shared" si="2"/>
        <v>0</v>
      </c>
      <c r="Z23" s="59" t="str">
        <f t="shared" si="3"/>
        <v>Felicitaciones por el buen rendimiento Académico</v>
      </c>
      <c r="AA23" s="57">
        <f t="shared" si="4"/>
        <v>0</v>
      </c>
      <c r="AF23" s="79">
        <f t="shared" si="5"/>
        <v>3</v>
      </c>
      <c r="AG23" s="57">
        <v>1</v>
      </c>
      <c r="AN23" s="124"/>
      <c r="AO23" s="125"/>
    </row>
    <row r="24" spans="1:66" ht="16.5" thickBot="1" x14ac:dyDescent="0.3">
      <c r="A24" s="118">
        <v>21</v>
      </c>
      <c r="B24" s="119"/>
      <c r="C24" s="129" t="s">
        <v>83</v>
      </c>
      <c r="D24" s="83"/>
      <c r="E24" s="96"/>
      <c r="F24" s="96" t="s">
        <v>58</v>
      </c>
      <c r="G24" s="83"/>
      <c r="H24" s="96"/>
      <c r="I24" s="96"/>
      <c r="J24" s="83"/>
      <c r="K24" s="83"/>
      <c r="L24" s="83"/>
      <c r="M24" s="96"/>
      <c r="N24" s="96"/>
      <c r="O24" s="96"/>
      <c r="P24" s="83"/>
      <c r="Q24" s="96"/>
      <c r="R24" s="96"/>
      <c r="S24" s="83"/>
      <c r="T24" s="96"/>
      <c r="U24" s="96"/>
      <c r="V24" s="83" t="s">
        <v>58</v>
      </c>
      <c r="W24" s="58">
        <f t="shared" si="0"/>
        <v>2</v>
      </c>
      <c r="X24" s="59">
        <f t="shared" si="1"/>
        <v>0</v>
      </c>
      <c r="Y24" s="59">
        <f t="shared" si="2"/>
        <v>1</v>
      </c>
      <c r="Z24" s="59" t="str">
        <f t="shared" si="3"/>
        <v>Pasas con logros Pendientes</v>
      </c>
      <c r="AA24" s="57">
        <f t="shared" si="4"/>
        <v>1</v>
      </c>
      <c r="AF24" s="79">
        <f t="shared" si="5"/>
        <v>2</v>
      </c>
      <c r="AG24" s="57">
        <v>1</v>
      </c>
      <c r="AN24" s="124"/>
      <c r="AO24" s="125"/>
    </row>
    <row r="25" spans="1:66" ht="16.5" thickBot="1" x14ac:dyDescent="0.3">
      <c r="A25" s="118">
        <v>22</v>
      </c>
      <c r="B25" s="119"/>
      <c r="C25" s="120" t="s">
        <v>84</v>
      </c>
      <c r="D25" s="83"/>
      <c r="E25" s="96"/>
      <c r="F25" s="96" t="s">
        <v>58</v>
      </c>
      <c r="G25" s="83"/>
      <c r="H25" s="96"/>
      <c r="I25" s="96"/>
      <c r="J25" s="83"/>
      <c r="K25" s="83"/>
      <c r="L25" s="83"/>
      <c r="M25" s="96"/>
      <c r="N25" s="96"/>
      <c r="O25" s="96"/>
      <c r="P25" s="83"/>
      <c r="Q25" s="96"/>
      <c r="R25" s="96"/>
      <c r="S25" s="83"/>
      <c r="T25" s="96"/>
      <c r="U25" s="96"/>
      <c r="V25" s="83"/>
      <c r="W25" s="58">
        <f t="shared" si="0"/>
        <v>1</v>
      </c>
      <c r="X25" s="59">
        <f t="shared" si="1"/>
        <v>0</v>
      </c>
      <c r="Y25" s="59">
        <f t="shared" si="2"/>
        <v>0</v>
      </c>
      <c r="Z25" s="59" t="str">
        <f t="shared" si="3"/>
        <v>Felicitaciones por el buen rendimiento Académico</v>
      </c>
      <c r="AA25" s="57">
        <f t="shared" si="4"/>
        <v>0</v>
      </c>
      <c r="AF25" s="79">
        <f t="shared" si="5"/>
        <v>1</v>
      </c>
      <c r="AG25" s="57">
        <v>0</v>
      </c>
      <c r="AN25" s="124"/>
      <c r="AO25" s="125"/>
    </row>
    <row r="26" spans="1:66" ht="16.5" thickBot="1" x14ac:dyDescent="0.3">
      <c r="A26" s="118">
        <v>23</v>
      </c>
      <c r="B26" s="119"/>
      <c r="C26" s="120" t="s">
        <v>85</v>
      </c>
      <c r="D26" s="83"/>
      <c r="E26" s="96"/>
      <c r="F26" s="96"/>
      <c r="G26" s="83"/>
      <c r="H26" s="96"/>
      <c r="I26" s="96"/>
      <c r="J26" s="83"/>
      <c r="K26" s="83"/>
      <c r="L26" s="83"/>
      <c r="M26" s="96"/>
      <c r="N26" s="96" t="s">
        <v>58</v>
      </c>
      <c r="O26" s="96" t="s">
        <v>58</v>
      </c>
      <c r="P26" s="83"/>
      <c r="Q26" s="96" t="s">
        <v>58</v>
      </c>
      <c r="R26" s="96" t="s">
        <v>58</v>
      </c>
      <c r="S26" s="83"/>
      <c r="T26" s="96" t="s">
        <v>58</v>
      </c>
      <c r="U26" s="96"/>
      <c r="V26" s="83"/>
      <c r="W26" s="58">
        <f t="shared" si="0"/>
        <v>5</v>
      </c>
      <c r="X26" s="59">
        <f t="shared" si="1"/>
        <v>0</v>
      </c>
      <c r="Y26" s="59">
        <f t="shared" si="2"/>
        <v>0</v>
      </c>
      <c r="Z26" s="59" t="str">
        <f t="shared" si="3"/>
        <v>Felicitaciones por el buen rendimiento Académico</v>
      </c>
      <c r="AA26" s="57">
        <f t="shared" si="4"/>
        <v>0</v>
      </c>
      <c r="AF26" s="79">
        <f t="shared" si="5"/>
        <v>5</v>
      </c>
      <c r="AG26" s="57">
        <v>3</v>
      </c>
      <c r="AN26" s="23"/>
      <c r="AO26" s="24"/>
    </row>
    <row r="27" spans="1:66" ht="16.5" thickBot="1" x14ac:dyDescent="0.3">
      <c r="A27" s="118">
        <v>24</v>
      </c>
      <c r="B27" s="119"/>
      <c r="C27" s="120" t="s">
        <v>86</v>
      </c>
      <c r="D27" s="83"/>
      <c r="E27" s="96"/>
      <c r="F27" s="96"/>
      <c r="G27" s="83"/>
      <c r="H27" s="96" t="s">
        <v>58</v>
      </c>
      <c r="I27" s="96" t="s">
        <v>58</v>
      </c>
      <c r="J27" s="83"/>
      <c r="K27" s="83"/>
      <c r="L27" s="83"/>
      <c r="M27" s="96"/>
      <c r="N27" s="96"/>
      <c r="O27" s="96"/>
      <c r="P27" s="83"/>
      <c r="Q27" s="96"/>
      <c r="R27" s="96" t="s">
        <v>58</v>
      </c>
      <c r="S27" s="83"/>
      <c r="T27" s="96" t="s">
        <v>58</v>
      </c>
      <c r="U27" s="96" t="s">
        <v>58</v>
      </c>
      <c r="V27" s="83"/>
      <c r="W27" s="58">
        <f t="shared" si="0"/>
        <v>5</v>
      </c>
      <c r="X27" s="59">
        <f t="shared" si="1"/>
        <v>0</v>
      </c>
      <c r="Y27" s="59">
        <f t="shared" si="2"/>
        <v>0</v>
      </c>
      <c r="Z27" s="59" t="str">
        <f t="shared" si="3"/>
        <v>Felicitaciones por el buen rendimiento Académico</v>
      </c>
      <c r="AA27" s="57">
        <f t="shared" si="4"/>
        <v>0</v>
      </c>
      <c r="AF27" s="79">
        <f t="shared" si="5"/>
        <v>5</v>
      </c>
      <c r="AG27" s="57">
        <v>2</v>
      </c>
    </row>
    <row r="28" spans="1:66" ht="16.5" thickBot="1" x14ac:dyDescent="0.3">
      <c r="A28" s="118">
        <v>25</v>
      </c>
      <c r="B28" s="119"/>
      <c r="C28" s="120" t="s">
        <v>87</v>
      </c>
      <c r="D28" s="83"/>
      <c r="E28" s="96"/>
      <c r="F28" s="96"/>
      <c r="G28" s="83"/>
      <c r="H28" s="96"/>
      <c r="I28" s="96"/>
      <c r="J28" s="83"/>
      <c r="K28" s="83"/>
      <c r="L28" s="83"/>
      <c r="M28" s="96"/>
      <c r="N28" s="96"/>
      <c r="O28" s="96"/>
      <c r="P28" s="83"/>
      <c r="Q28" s="96"/>
      <c r="R28" s="96"/>
      <c r="S28" s="83"/>
      <c r="T28" s="96"/>
      <c r="U28" s="96"/>
      <c r="V28" s="83"/>
      <c r="W28" s="58">
        <f t="shared" si="0"/>
        <v>0</v>
      </c>
      <c r="X28" s="59">
        <f t="shared" si="1"/>
        <v>0</v>
      </c>
      <c r="Y28" s="59">
        <f t="shared" si="2"/>
        <v>0</v>
      </c>
      <c r="Z28" s="59" t="str">
        <f t="shared" si="3"/>
        <v>Felicitaciones por el buen rendimiento Académico</v>
      </c>
      <c r="AA28" s="57">
        <f t="shared" si="4"/>
        <v>0</v>
      </c>
      <c r="AF28" s="79">
        <f t="shared" si="5"/>
        <v>0</v>
      </c>
      <c r="AG28" s="57">
        <v>0</v>
      </c>
    </row>
    <row r="29" spans="1:66" ht="16.5" thickBot="1" x14ac:dyDescent="0.3">
      <c r="A29" s="118">
        <v>26</v>
      </c>
      <c r="B29" s="119"/>
      <c r="C29" s="120" t="s">
        <v>88</v>
      </c>
      <c r="D29" s="83"/>
      <c r="E29" s="96"/>
      <c r="F29" s="96"/>
      <c r="G29" s="83"/>
      <c r="H29" s="96" t="s">
        <v>58</v>
      </c>
      <c r="I29" s="96" t="s">
        <v>58</v>
      </c>
      <c r="J29" s="83"/>
      <c r="K29" s="83"/>
      <c r="L29" s="83"/>
      <c r="M29" s="96"/>
      <c r="N29" s="96"/>
      <c r="O29" s="96" t="s">
        <v>58</v>
      </c>
      <c r="P29" s="83"/>
      <c r="Q29" s="96" t="s">
        <v>58</v>
      </c>
      <c r="R29" s="96" t="s">
        <v>58</v>
      </c>
      <c r="S29" s="83"/>
      <c r="T29" s="96"/>
      <c r="U29" s="96"/>
      <c r="V29" s="83"/>
      <c r="W29" s="58">
        <f t="shared" si="0"/>
        <v>5</v>
      </c>
      <c r="X29" s="59">
        <f t="shared" si="1"/>
        <v>0</v>
      </c>
      <c r="Y29" s="59">
        <f t="shared" si="2"/>
        <v>0</v>
      </c>
      <c r="Z29" s="59" t="str">
        <f t="shared" si="3"/>
        <v>Felicitaciones por el buen rendimiento Académico</v>
      </c>
      <c r="AA29" s="57">
        <f t="shared" si="4"/>
        <v>0</v>
      </c>
      <c r="AF29" s="79">
        <f t="shared" si="5"/>
        <v>5</v>
      </c>
      <c r="AG29" s="57">
        <v>1</v>
      </c>
    </row>
    <row r="30" spans="1:66" ht="16.5" thickBot="1" x14ac:dyDescent="0.3">
      <c r="A30" s="118">
        <v>27</v>
      </c>
      <c r="B30" s="119"/>
      <c r="C30" s="120" t="s">
        <v>89</v>
      </c>
      <c r="D30" s="83"/>
      <c r="E30" s="96"/>
      <c r="F30" s="96"/>
      <c r="G30" s="83"/>
      <c r="H30" s="96"/>
      <c r="I30" s="96"/>
      <c r="J30" s="83"/>
      <c r="K30" s="83"/>
      <c r="L30" s="83"/>
      <c r="M30" s="96"/>
      <c r="N30" s="96" t="s">
        <v>58</v>
      </c>
      <c r="O30" s="96" t="s">
        <v>58</v>
      </c>
      <c r="P30" s="83"/>
      <c r="Q30" s="96"/>
      <c r="R30" s="96"/>
      <c r="S30" s="83"/>
      <c r="T30" s="96"/>
      <c r="U30" s="96"/>
      <c r="V30" s="83"/>
      <c r="W30" s="58">
        <f t="shared" si="0"/>
        <v>2</v>
      </c>
      <c r="X30" s="59">
        <f t="shared" si="1"/>
        <v>0</v>
      </c>
      <c r="Y30" s="59">
        <f t="shared" si="2"/>
        <v>0</v>
      </c>
      <c r="Z30" s="59" t="str">
        <f t="shared" si="3"/>
        <v>Felicitaciones por el buen rendimiento Académico</v>
      </c>
      <c r="AA30" s="57">
        <f t="shared" si="4"/>
        <v>0</v>
      </c>
      <c r="AF30" s="79">
        <f t="shared" si="5"/>
        <v>2</v>
      </c>
      <c r="AG30" s="57">
        <v>1</v>
      </c>
    </row>
    <row r="31" spans="1:66" ht="16.5" thickBot="1" x14ac:dyDescent="0.3">
      <c r="A31" s="118">
        <v>28</v>
      </c>
      <c r="B31" s="119"/>
      <c r="C31" s="120" t="s">
        <v>90</v>
      </c>
      <c r="D31" s="83"/>
      <c r="E31" s="96"/>
      <c r="F31" s="96" t="s">
        <v>58</v>
      </c>
      <c r="G31" s="83"/>
      <c r="H31" s="96"/>
      <c r="I31" s="96"/>
      <c r="J31" s="83"/>
      <c r="K31" s="83"/>
      <c r="L31" s="83"/>
      <c r="M31" s="96"/>
      <c r="N31" s="96"/>
      <c r="O31" s="96"/>
      <c r="P31" s="83"/>
      <c r="Q31" s="96"/>
      <c r="R31" s="96"/>
      <c r="S31" s="83"/>
      <c r="T31" s="96"/>
      <c r="U31" s="96"/>
      <c r="V31" s="83" t="s">
        <v>58</v>
      </c>
      <c r="W31" s="58">
        <f t="shared" si="0"/>
        <v>2</v>
      </c>
      <c r="X31" s="59">
        <f t="shared" si="1"/>
        <v>0</v>
      </c>
      <c r="Y31" s="59">
        <f t="shared" si="2"/>
        <v>1</v>
      </c>
      <c r="Z31" s="59" t="str">
        <f t="shared" si="3"/>
        <v>Pasas con logros Pendientes</v>
      </c>
      <c r="AA31" s="57">
        <f t="shared" si="4"/>
        <v>1</v>
      </c>
      <c r="AF31" s="79">
        <f t="shared" si="5"/>
        <v>2</v>
      </c>
      <c r="AG31" s="57">
        <v>1</v>
      </c>
    </row>
    <row r="32" spans="1:66" ht="16.5" thickBot="1" x14ac:dyDescent="0.3">
      <c r="A32" s="118">
        <v>29</v>
      </c>
      <c r="B32" s="119"/>
      <c r="C32" s="120" t="s">
        <v>91</v>
      </c>
      <c r="D32" s="83"/>
      <c r="E32" s="96"/>
      <c r="F32" s="96"/>
      <c r="G32" s="83"/>
      <c r="H32" s="96"/>
      <c r="I32" s="96"/>
      <c r="J32" s="83"/>
      <c r="K32" s="83"/>
      <c r="L32" s="83"/>
      <c r="M32" s="96"/>
      <c r="N32" s="96" t="s">
        <v>58</v>
      </c>
      <c r="O32" s="96" t="s">
        <v>58</v>
      </c>
      <c r="P32" s="83"/>
      <c r="Q32" s="96" t="s">
        <v>58</v>
      </c>
      <c r="R32" s="96" t="s">
        <v>58</v>
      </c>
      <c r="S32" s="83"/>
      <c r="T32" s="96" t="s">
        <v>58</v>
      </c>
      <c r="U32" s="96"/>
      <c r="V32" s="83"/>
      <c r="W32" s="58">
        <f t="shared" si="0"/>
        <v>5</v>
      </c>
      <c r="X32" s="59">
        <f t="shared" si="1"/>
        <v>0</v>
      </c>
      <c r="Y32" s="59">
        <f t="shared" si="2"/>
        <v>0</v>
      </c>
      <c r="Z32" s="59" t="str">
        <f t="shared" si="3"/>
        <v>Felicitaciones por el buen rendimiento Académico</v>
      </c>
      <c r="AA32" s="57">
        <f t="shared" si="4"/>
        <v>0</v>
      </c>
      <c r="AE32" s="57">
        <v>45</v>
      </c>
      <c r="AF32" s="79">
        <f t="shared" si="5"/>
        <v>5</v>
      </c>
      <c r="AG32" s="57">
        <v>2</v>
      </c>
    </row>
    <row r="33" spans="1:33" ht="16.5" thickBot="1" x14ac:dyDescent="0.3">
      <c r="A33" s="118">
        <v>30</v>
      </c>
      <c r="B33" s="119"/>
      <c r="C33" s="120" t="s">
        <v>92</v>
      </c>
      <c r="D33" s="83"/>
      <c r="E33" s="96"/>
      <c r="F33" s="96"/>
      <c r="G33" s="83"/>
      <c r="H33" s="96" t="s">
        <v>58</v>
      </c>
      <c r="I33" s="96" t="s">
        <v>58</v>
      </c>
      <c r="J33" s="83"/>
      <c r="K33" s="83" t="s">
        <v>58</v>
      </c>
      <c r="L33" s="83"/>
      <c r="M33" s="96"/>
      <c r="N33" s="96"/>
      <c r="O33" s="96" t="s">
        <v>58</v>
      </c>
      <c r="P33" s="83"/>
      <c r="Q33" s="96" t="s">
        <v>58</v>
      </c>
      <c r="R33" s="96" t="s">
        <v>58</v>
      </c>
      <c r="S33" s="83"/>
      <c r="T33" s="96"/>
      <c r="U33" s="96" t="s">
        <v>58</v>
      </c>
      <c r="V33" s="83"/>
      <c r="W33" s="58">
        <f t="shared" si="0"/>
        <v>7</v>
      </c>
      <c r="X33" s="59">
        <f t="shared" si="1"/>
        <v>0</v>
      </c>
      <c r="Y33" s="59">
        <f t="shared" si="2"/>
        <v>1</v>
      </c>
      <c r="Z33" s="59" t="str">
        <f t="shared" si="3"/>
        <v>Pasas con logros Pendientes</v>
      </c>
      <c r="AA33" s="57">
        <f t="shared" si="4"/>
        <v>1</v>
      </c>
      <c r="AE33" s="57">
        <v>18</v>
      </c>
      <c r="AF33" s="79">
        <f t="shared" si="5"/>
        <v>7</v>
      </c>
      <c r="AG33" s="57">
        <v>2</v>
      </c>
    </row>
    <row r="34" spans="1:33" ht="16.5" thickBot="1" x14ac:dyDescent="0.3">
      <c r="A34" s="118">
        <v>31</v>
      </c>
      <c r="B34" s="119"/>
      <c r="C34" s="120" t="s">
        <v>93</v>
      </c>
      <c r="D34" s="83"/>
      <c r="E34" s="96"/>
      <c r="F34" s="96"/>
      <c r="G34" s="83"/>
      <c r="H34" s="96" t="s">
        <v>58</v>
      </c>
      <c r="I34" s="96" t="s">
        <v>58</v>
      </c>
      <c r="J34" s="83"/>
      <c r="K34" s="83"/>
      <c r="L34" s="83"/>
      <c r="M34" s="96"/>
      <c r="N34" s="96"/>
      <c r="O34" s="96"/>
      <c r="P34" s="83"/>
      <c r="Q34" s="96" t="s">
        <v>58</v>
      </c>
      <c r="R34" s="96"/>
      <c r="S34" s="83"/>
      <c r="T34" s="96" t="s">
        <v>58</v>
      </c>
      <c r="U34" s="96"/>
      <c r="V34" s="83"/>
      <c r="W34" s="58">
        <f t="shared" si="0"/>
        <v>4</v>
      </c>
      <c r="X34" s="59">
        <f t="shared" si="1"/>
        <v>0</v>
      </c>
      <c r="Y34" s="59">
        <f t="shared" si="2"/>
        <v>0</v>
      </c>
      <c r="Z34" s="59" t="str">
        <f t="shared" si="3"/>
        <v>Felicitaciones por el buen rendimiento Académico</v>
      </c>
      <c r="AA34" s="57">
        <f t="shared" si="4"/>
        <v>0</v>
      </c>
      <c r="AE34" s="57">
        <f>AE32-AE33</f>
        <v>27</v>
      </c>
      <c r="AF34" s="79">
        <f t="shared" si="5"/>
        <v>4</v>
      </c>
      <c r="AG34" s="57">
        <v>1</v>
      </c>
    </row>
    <row r="35" spans="1:33" ht="16.5" thickBot="1" x14ac:dyDescent="0.3">
      <c r="A35" s="118">
        <v>32</v>
      </c>
      <c r="B35" s="119"/>
      <c r="C35" s="120" t="s">
        <v>94</v>
      </c>
      <c r="D35" s="83"/>
      <c r="E35" s="96"/>
      <c r="F35" s="96"/>
      <c r="G35" s="83"/>
      <c r="H35" s="96"/>
      <c r="I35" s="96"/>
      <c r="J35" s="83"/>
      <c r="K35" s="83"/>
      <c r="L35" s="83"/>
      <c r="M35" s="96"/>
      <c r="N35" s="96"/>
      <c r="O35" s="96"/>
      <c r="P35" s="83"/>
      <c r="Q35" s="96"/>
      <c r="R35" s="96"/>
      <c r="S35" s="83"/>
      <c r="T35" s="96"/>
      <c r="U35" s="96"/>
      <c r="V35" s="83"/>
      <c r="W35" s="58">
        <f t="shared" si="0"/>
        <v>0</v>
      </c>
      <c r="X35" s="59">
        <f t="shared" si="1"/>
        <v>0</v>
      </c>
      <c r="Y35" s="59">
        <f t="shared" si="2"/>
        <v>0</v>
      </c>
      <c r="Z35" s="59" t="str">
        <f t="shared" si="3"/>
        <v>Felicitaciones por el buen rendimiento Académico</v>
      </c>
      <c r="AA35" s="57">
        <f t="shared" si="4"/>
        <v>0</v>
      </c>
      <c r="AF35" s="79">
        <f t="shared" si="5"/>
        <v>0</v>
      </c>
      <c r="AG35" s="57">
        <v>0</v>
      </c>
    </row>
    <row r="36" spans="1:33" ht="16.5" thickBot="1" x14ac:dyDescent="0.3">
      <c r="A36" s="118">
        <v>33</v>
      </c>
      <c r="B36" s="119"/>
      <c r="C36" s="120" t="s">
        <v>95</v>
      </c>
      <c r="D36" s="83"/>
      <c r="E36" s="96"/>
      <c r="F36" s="96"/>
      <c r="G36" s="83"/>
      <c r="H36" s="96" t="s">
        <v>58</v>
      </c>
      <c r="I36" s="96" t="s">
        <v>58</v>
      </c>
      <c r="J36" s="83"/>
      <c r="K36" s="83"/>
      <c r="L36" s="83"/>
      <c r="M36" s="96"/>
      <c r="N36" s="96" t="s">
        <v>58</v>
      </c>
      <c r="O36" s="96" t="s">
        <v>58</v>
      </c>
      <c r="P36" s="83"/>
      <c r="Q36" s="96"/>
      <c r="R36" s="96"/>
      <c r="S36" s="83"/>
      <c r="T36" s="96" t="s">
        <v>58</v>
      </c>
      <c r="U36" s="96" t="s">
        <v>58</v>
      </c>
      <c r="V36" s="83"/>
      <c r="W36" s="58">
        <f t="shared" si="0"/>
        <v>6</v>
      </c>
      <c r="X36" s="59">
        <f t="shared" si="1"/>
        <v>0</v>
      </c>
      <c r="Y36" s="59">
        <f t="shared" si="2"/>
        <v>0</v>
      </c>
      <c r="Z36" s="59" t="str">
        <f t="shared" si="3"/>
        <v>Felicitaciones por el buen rendimiento Académico</v>
      </c>
      <c r="AA36" s="57">
        <f t="shared" si="4"/>
        <v>0</v>
      </c>
      <c r="AF36" s="79">
        <f t="shared" si="5"/>
        <v>6</v>
      </c>
      <c r="AG36" s="57">
        <v>2</v>
      </c>
    </row>
    <row r="37" spans="1:33" ht="16.5" thickBot="1" x14ac:dyDescent="0.3">
      <c r="A37" s="118">
        <v>34</v>
      </c>
      <c r="B37" s="119"/>
      <c r="C37" s="120" t="s">
        <v>96</v>
      </c>
      <c r="D37" s="83"/>
      <c r="E37" s="96"/>
      <c r="F37" s="96" t="s">
        <v>58</v>
      </c>
      <c r="G37" s="83"/>
      <c r="H37" s="96" t="s">
        <v>58</v>
      </c>
      <c r="I37" s="96" t="s">
        <v>58</v>
      </c>
      <c r="J37" s="83"/>
      <c r="K37" s="83"/>
      <c r="L37" s="83"/>
      <c r="M37" s="96"/>
      <c r="N37" s="96"/>
      <c r="O37" s="96"/>
      <c r="P37" s="83"/>
      <c r="Q37" s="96"/>
      <c r="R37" s="96"/>
      <c r="S37" s="83"/>
      <c r="T37" s="96"/>
      <c r="U37" s="96" t="s">
        <v>58</v>
      </c>
      <c r="V37" s="83"/>
      <c r="W37" s="58">
        <f t="shared" si="0"/>
        <v>4</v>
      </c>
      <c r="X37" s="59">
        <f t="shared" si="1"/>
        <v>0</v>
      </c>
      <c r="Y37" s="59">
        <f t="shared" si="2"/>
        <v>0</v>
      </c>
      <c r="Z37" s="59" t="str">
        <f t="shared" si="3"/>
        <v>Felicitaciones por el buen rendimiento Académico</v>
      </c>
      <c r="AA37" s="57">
        <f t="shared" si="4"/>
        <v>0</v>
      </c>
      <c r="AF37" s="79">
        <f t="shared" si="5"/>
        <v>4</v>
      </c>
      <c r="AG37" s="57">
        <v>0</v>
      </c>
    </row>
    <row r="38" spans="1:33" ht="16.5" thickBot="1" x14ac:dyDescent="0.3">
      <c r="A38" s="118">
        <v>35</v>
      </c>
      <c r="B38" s="119"/>
      <c r="C38" s="128" t="s">
        <v>97</v>
      </c>
      <c r="D38" s="83"/>
      <c r="E38" s="96"/>
      <c r="F38" s="96"/>
      <c r="G38" s="83"/>
      <c r="H38" s="96"/>
      <c r="I38" s="96"/>
      <c r="J38" s="83"/>
      <c r="K38" s="83"/>
      <c r="L38" s="83"/>
      <c r="M38" s="96"/>
      <c r="N38" s="96" t="s">
        <v>58</v>
      </c>
      <c r="O38" s="96" t="s">
        <v>58</v>
      </c>
      <c r="P38" s="83"/>
      <c r="Q38" s="96"/>
      <c r="R38" s="96"/>
      <c r="S38" s="83"/>
      <c r="T38" s="96" t="s">
        <v>58</v>
      </c>
      <c r="U38" s="96" t="s">
        <v>58</v>
      </c>
      <c r="V38" s="83"/>
      <c r="W38" s="58">
        <f t="shared" si="0"/>
        <v>4</v>
      </c>
      <c r="X38" s="59">
        <f t="shared" si="1"/>
        <v>0</v>
      </c>
      <c r="Y38" s="59">
        <f t="shared" si="2"/>
        <v>0</v>
      </c>
      <c r="Z38" s="59" t="str">
        <f t="shared" si="3"/>
        <v>Felicitaciones por el buen rendimiento Académico</v>
      </c>
      <c r="AA38" s="57">
        <f t="shared" si="4"/>
        <v>0</v>
      </c>
      <c r="AF38" s="79">
        <f t="shared" si="5"/>
        <v>4</v>
      </c>
      <c r="AG38" s="57">
        <v>2</v>
      </c>
    </row>
    <row r="39" spans="1:33" ht="16.5" thickBot="1" x14ac:dyDescent="0.3">
      <c r="A39" s="118">
        <v>36</v>
      </c>
      <c r="B39" s="119"/>
      <c r="C39" s="128" t="s">
        <v>98</v>
      </c>
      <c r="D39" s="83"/>
      <c r="E39" s="96" t="s">
        <v>58</v>
      </c>
      <c r="F39" s="96" t="s">
        <v>58</v>
      </c>
      <c r="G39" s="83"/>
      <c r="H39" s="96"/>
      <c r="I39" s="96"/>
      <c r="J39" s="83" t="s">
        <v>58</v>
      </c>
      <c r="K39" s="83" t="s">
        <v>58</v>
      </c>
      <c r="L39" s="83"/>
      <c r="M39" s="96"/>
      <c r="N39" s="96" t="s">
        <v>58</v>
      </c>
      <c r="O39" s="96" t="s">
        <v>58</v>
      </c>
      <c r="P39" s="83"/>
      <c r="Q39" s="96" t="s">
        <v>58</v>
      </c>
      <c r="R39" s="96" t="s">
        <v>58</v>
      </c>
      <c r="S39" s="83"/>
      <c r="T39" s="96" t="s">
        <v>58</v>
      </c>
      <c r="U39" s="96" t="s">
        <v>58</v>
      </c>
      <c r="V39" s="83" t="s">
        <v>58</v>
      </c>
      <c r="W39" s="58">
        <f t="shared" si="0"/>
        <v>11</v>
      </c>
      <c r="X39" s="59">
        <f t="shared" si="1"/>
        <v>0</v>
      </c>
      <c r="Y39" s="59">
        <f t="shared" si="2"/>
        <v>3</v>
      </c>
      <c r="Z39" s="59" t="str">
        <f t="shared" si="3"/>
        <v>Tu año esta en riesgo de perderse</v>
      </c>
      <c r="AA39" s="57">
        <f t="shared" si="4"/>
        <v>3</v>
      </c>
      <c r="AF39" s="79">
        <f t="shared" si="5"/>
        <v>11</v>
      </c>
      <c r="AG39" s="57">
        <v>7</v>
      </c>
    </row>
    <row r="40" spans="1:33" ht="16.5" thickBot="1" x14ac:dyDescent="0.3">
      <c r="A40" s="118">
        <v>37</v>
      </c>
      <c r="B40" s="119"/>
      <c r="C40" s="130"/>
      <c r="D40" s="131"/>
      <c r="E40" s="132"/>
      <c r="F40" s="132"/>
      <c r="G40" s="131"/>
      <c r="H40" s="132"/>
      <c r="I40" s="132"/>
      <c r="J40" s="131"/>
      <c r="K40" s="131"/>
      <c r="L40" s="131"/>
      <c r="M40" s="132"/>
      <c r="N40" s="132"/>
      <c r="O40" s="132"/>
      <c r="P40" s="131"/>
      <c r="Q40" s="132"/>
      <c r="R40" s="132"/>
      <c r="S40" s="131"/>
      <c r="T40" s="132"/>
      <c r="U40" s="132"/>
      <c r="V40" s="131"/>
      <c r="W40" s="58">
        <f t="shared" si="0"/>
        <v>0</v>
      </c>
      <c r="X40" s="59">
        <f t="shared" si="1"/>
        <v>0</v>
      </c>
      <c r="Y40" s="59">
        <f t="shared" si="2"/>
        <v>0</v>
      </c>
      <c r="Z40" s="59" t="str">
        <f t="shared" si="3"/>
        <v>Felicitaciones por el buen rendimiento Académico</v>
      </c>
      <c r="AA40" s="57">
        <f t="shared" si="4"/>
        <v>0</v>
      </c>
      <c r="AF40" s="79">
        <f t="shared" si="5"/>
        <v>0</v>
      </c>
    </row>
    <row r="41" spans="1:33" x14ac:dyDescent="0.25">
      <c r="A41" s="118">
        <v>38</v>
      </c>
      <c r="C41" s="85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AF41" s="79">
        <f t="shared" si="5"/>
        <v>0</v>
      </c>
    </row>
    <row r="42" spans="1:33" x14ac:dyDescent="0.25">
      <c r="A42" s="133"/>
      <c r="D42">
        <f>COUNTIF(D4:D41,"X")</f>
        <v>0</v>
      </c>
      <c r="E42">
        <f t="shared" ref="E42:V42" si="7">COUNTIF(E4:E41,"X")</f>
        <v>6</v>
      </c>
      <c r="F42">
        <f t="shared" si="7"/>
        <v>13</v>
      </c>
      <c r="G42">
        <f t="shared" si="7"/>
        <v>0</v>
      </c>
      <c r="H42">
        <f t="shared" si="7"/>
        <v>12</v>
      </c>
      <c r="I42">
        <f t="shared" si="7"/>
        <v>12</v>
      </c>
      <c r="J42">
        <f t="shared" si="7"/>
        <v>5</v>
      </c>
      <c r="K42">
        <f t="shared" si="7"/>
        <v>4</v>
      </c>
      <c r="L42">
        <f t="shared" si="7"/>
        <v>0</v>
      </c>
      <c r="M42">
        <f t="shared" si="7"/>
        <v>0</v>
      </c>
      <c r="N42">
        <f t="shared" si="7"/>
        <v>14</v>
      </c>
      <c r="O42">
        <f t="shared" si="7"/>
        <v>19</v>
      </c>
      <c r="P42">
        <f t="shared" si="7"/>
        <v>0</v>
      </c>
      <c r="Q42">
        <f t="shared" si="7"/>
        <v>12</v>
      </c>
      <c r="R42">
        <f t="shared" si="7"/>
        <v>13</v>
      </c>
      <c r="S42">
        <f t="shared" si="7"/>
        <v>0</v>
      </c>
      <c r="T42">
        <f t="shared" si="7"/>
        <v>14</v>
      </c>
      <c r="U42">
        <f t="shared" si="7"/>
        <v>13</v>
      </c>
      <c r="V42">
        <f t="shared" si="7"/>
        <v>10</v>
      </c>
      <c r="AF42" s="57">
        <f>COUNTIF(AF4:AF41,"0")</f>
        <v>8</v>
      </c>
    </row>
    <row r="43" spans="1:33" x14ac:dyDescent="0.25">
      <c r="A43" s="133"/>
    </row>
    <row r="44" spans="1:33" x14ac:dyDescent="0.25">
      <c r="A44" s="133"/>
    </row>
    <row r="45" spans="1:33" x14ac:dyDescent="0.25">
      <c r="A45" s="133"/>
    </row>
    <row r="46" spans="1:33" x14ac:dyDescent="0.25">
      <c r="A46" s="133"/>
    </row>
    <row r="47" spans="1:33" x14ac:dyDescent="0.25">
      <c r="A47" s="133"/>
    </row>
    <row r="48" spans="1:33" x14ac:dyDescent="0.25">
      <c r="A48" s="133"/>
    </row>
    <row r="49" spans="1:30" x14ac:dyDescent="0.25">
      <c r="A49" s="133"/>
    </row>
    <row r="50" spans="1:30" x14ac:dyDescent="0.25">
      <c r="A50" s="133"/>
    </row>
    <row r="51" spans="1:30" x14ac:dyDescent="0.25">
      <c r="A51" s="133"/>
    </row>
    <row r="52" spans="1:30" x14ac:dyDescent="0.25">
      <c r="A52" s="133"/>
    </row>
    <row r="53" spans="1:30" x14ac:dyDescent="0.25">
      <c r="A53" s="133"/>
    </row>
    <row r="54" spans="1:30" x14ac:dyDescent="0.25">
      <c r="A54" s="133"/>
      <c r="AA54" s="134" t="s">
        <v>99</v>
      </c>
      <c r="AB54" s="134"/>
      <c r="AC54" s="134" t="s">
        <v>100</v>
      </c>
      <c r="AD54" s="134" t="s">
        <v>23</v>
      </c>
    </row>
    <row r="55" spans="1:30" x14ac:dyDescent="0.25">
      <c r="A55" s="133"/>
      <c r="AA55" s="135" t="s">
        <v>101</v>
      </c>
      <c r="AB55" s="135"/>
      <c r="AC55" s="123">
        <f>COUNTIF(Z4:Z40,"Felicitaciones por el buen rendimiento Académico")+1</f>
        <v>27</v>
      </c>
      <c r="AD55" s="136">
        <f>AC55/$AC$58</f>
        <v>0.72972972972972971</v>
      </c>
    </row>
    <row r="56" spans="1:30" x14ac:dyDescent="0.25">
      <c r="A56" s="133"/>
      <c r="AA56" s="135" t="s">
        <v>102</v>
      </c>
      <c r="AB56" s="135"/>
      <c r="AC56" s="123">
        <f>COUNTIF($Z$4:$Z$40,"Pasas con logros Pendientes")</f>
        <v>5</v>
      </c>
      <c r="AD56" s="136">
        <f>AC56/$AC$58</f>
        <v>0.13513513513513514</v>
      </c>
    </row>
    <row r="57" spans="1:30" x14ac:dyDescent="0.25">
      <c r="A57" s="133"/>
      <c r="AA57" s="134" t="s">
        <v>103</v>
      </c>
      <c r="AB57" s="134"/>
      <c r="AC57" s="123">
        <f>COUNTIF($Z$4:$Z$40,"Tu año esta en riesgo de perderse")</f>
        <v>6</v>
      </c>
      <c r="AD57" s="136">
        <f>AC57/$AC$58</f>
        <v>0.16216216216216217</v>
      </c>
    </row>
    <row r="58" spans="1:30" ht="20.25" x14ac:dyDescent="0.3">
      <c r="A58" s="137"/>
      <c r="AA58" s="138" t="s">
        <v>104</v>
      </c>
      <c r="AB58" s="138"/>
      <c r="AC58" s="138">
        <v>37</v>
      </c>
      <c r="AD58" s="139">
        <v>1</v>
      </c>
    </row>
    <row r="59" spans="1:30" ht="15.75" thickBot="1" x14ac:dyDescent="0.3">
      <c r="A59" s="35"/>
    </row>
  </sheetData>
  <sortState xmlns:xlrd2="http://schemas.microsoft.com/office/spreadsheetml/2017/richdata2" ref="C4:V39">
    <sortCondition ref="C4:C39"/>
  </sortState>
  <mergeCells count="3">
    <mergeCell ref="A1:B1"/>
    <mergeCell ref="E1:V1"/>
    <mergeCell ref="W1:W3"/>
  </mergeCells>
  <conditionalFormatting sqref="D4:D40">
    <cfRule type="cellIs" dxfId="28" priority="8" operator="equal">
      <formula>"X"</formula>
    </cfRule>
  </conditionalFormatting>
  <conditionalFormatting sqref="G4:G40">
    <cfRule type="cellIs" dxfId="27" priority="7" operator="equal">
      <formula>"X"</formula>
    </cfRule>
  </conditionalFormatting>
  <conditionalFormatting sqref="J4:L40">
    <cfRule type="cellIs" dxfId="26" priority="4" operator="equal">
      <formula>"X"</formula>
    </cfRule>
  </conditionalFormatting>
  <conditionalFormatting sqref="P4:P40">
    <cfRule type="cellIs" dxfId="25" priority="3" operator="equal">
      <formula>"X"</formula>
    </cfRule>
  </conditionalFormatting>
  <conditionalFormatting sqref="S4:S40">
    <cfRule type="cellIs" dxfId="24" priority="2" operator="equal">
      <formula>"X"</formula>
    </cfRule>
  </conditionalFormatting>
  <conditionalFormatting sqref="V4:V40">
    <cfRule type="cellIs" dxfId="23" priority="1" operator="equal">
      <formula>"X"</formula>
    </cfRule>
  </conditionalFormatting>
  <conditionalFormatting sqref="W16:W17">
    <cfRule type="cellIs" dxfId="22" priority="21" operator="equal">
      <formula>$J$5</formula>
    </cfRule>
  </conditionalFormatting>
  <conditionalFormatting sqref="Z4:Z40">
    <cfRule type="cellIs" dxfId="21" priority="17" stopIfTrue="1" operator="equal">
      <formula>"Felicitaciones por el buen rendimiento Académico"</formula>
    </cfRule>
    <cfRule type="notContainsText" dxfId="20" priority="18" stopIfTrue="1" operator="notContains" text="Felicitaciones…pasas a noveno">
      <formula>ISERROR(SEARCH("Felicitaciones…pasas a noveno",Z4))</formula>
    </cfRule>
    <cfRule type="containsText" dxfId="19" priority="19" stopIfTrue="1" operator="containsText" text="Tu año esta en riesgo de perderse">
      <formula>NOT(ISERROR(SEARCH("Tu año esta en riesgo de perderse",Z4)))</formula>
    </cfRule>
    <cfRule type="containsText" dxfId="18" priority="20" stopIfTrue="1" operator="containsText" text="Felicitaciones…pasas a noveno">
      <formula>NOT(ISERROR(SEARCH("Felicitaciones…pasas a noveno",Z4)))</formula>
    </cfRule>
  </conditionalFormatting>
  <printOptions horizontalCentered="1" gridLines="1"/>
  <pageMargins left="0.11811023622047245" right="0.59055118110236227" top="0.39370078740157483" bottom="0.39370078740157483" header="0.19685039370078741" footer="0.19685039370078741"/>
  <pageSetup paperSize="14" scale="95" orientation="landscape" r:id="rId1"/>
  <headerFooter>
    <oddFooter>&amp;CC:\Master2000\ - Página &amp;P de &amp;N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3F448-1AFA-4CA1-9D6A-213B28E688E2}">
  <dimension ref="B2:I32"/>
  <sheetViews>
    <sheetView showGridLines="0" topLeftCell="C20" workbookViewId="0">
      <selection activeCell="D21" sqref="D21"/>
    </sheetView>
  </sheetViews>
  <sheetFormatPr baseColWidth="10" defaultColWidth="11.42578125" defaultRowHeight="15" x14ac:dyDescent="0.25"/>
  <cols>
    <col min="4" max="4" width="17.140625" bestFit="1" customWidth="1"/>
    <col min="6" max="6" width="61.28515625" bestFit="1" customWidth="1"/>
    <col min="7" max="7" width="76.5703125" bestFit="1" customWidth="1"/>
  </cols>
  <sheetData>
    <row r="2" spans="2:4" x14ac:dyDescent="0.25">
      <c r="C2" s="140" t="s">
        <v>105</v>
      </c>
      <c r="D2" s="140" t="s">
        <v>106</v>
      </c>
    </row>
    <row r="3" spans="2:4" ht="22.5" x14ac:dyDescent="0.25">
      <c r="B3">
        <v>1</v>
      </c>
      <c r="C3" s="141" t="s">
        <v>34</v>
      </c>
      <c r="D3" s="135">
        <f>'informe PARCIAL 1 periodo (2)'!E42</f>
        <v>6</v>
      </c>
    </row>
    <row r="4" spans="2:4" ht="22.5" x14ac:dyDescent="0.25">
      <c r="B4">
        <v>2</v>
      </c>
      <c r="C4" s="141" t="s">
        <v>35</v>
      </c>
      <c r="D4" s="135">
        <f>'informe PARCIAL 1 periodo (2)'!F42</f>
        <v>13</v>
      </c>
    </row>
    <row r="5" spans="2:4" x14ac:dyDescent="0.25">
      <c r="B5">
        <v>3</v>
      </c>
      <c r="C5" s="141" t="s">
        <v>37</v>
      </c>
      <c r="D5" s="135">
        <f>'informe PARCIAL 1 periodo (2)'!H42</f>
        <v>12</v>
      </c>
    </row>
    <row r="6" spans="2:4" ht="22.5" x14ac:dyDescent="0.25">
      <c r="B6">
        <v>4</v>
      </c>
      <c r="C6" s="141" t="s">
        <v>38</v>
      </c>
      <c r="D6" s="135">
        <f>'informe PARCIAL 1 periodo (2)'!I42</f>
        <v>12</v>
      </c>
    </row>
    <row r="7" spans="2:4" ht="33.75" x14ac:dyDescent="0.25">
      <c r="B7">
        <v>5</v>
      </c>
      <c r="C7" s="141" t="s">
        <v>39</v>
      </c>
      <c r="D7" s="135">
        <f>'informe PARCIAL 1 periodo (2)'!J42</f>
        <v>5</v>
      </c>
    </row>
    <row r="8" spans="2:4" ht="45" x14ac:dyDescent="0.25">
      <c r="B8">
        <v>6</v>
      </c>
      <c r="C8" s="141" t="s">
        <v>40</v>
      </c>
      <c r="D8" s="135">
        <f>'informe PARCIAL 1 periodo (2)'!K42</f>
        <v>4</v>
      </c>
    </row>
    <row r="9" spans="2:4" ht="22.5" x14ac:dyDescent="0.25">
      <c r="B9">
        <v>7</v>
      </c>
      <c r="C9" s="141" t="s">
        <v>42</v>
      </c>
      <c r="D9" s="135">
        <f>'informe PARCIAL 1 periodo (2)'!M42</f>
        <v>0</v>
      </c>
    </row>
    <row r="10" spans="2:4" ht="22.5" x14ac:dyDescent="0.25">
      <c r="B10">
        <v>8</v>
      </c>
      <c r="C10" s="141" t="s">
        <v>43</v>
      </c>
      <c r="D10" s="135">
        <f>'informe PARCIAL 1 periodo (2)'!N42</f>
        <v>14</v>
      </c>
    </row>
    <row r="11" spans="2:4" x14ac:dyDescent="0.25">
      <c r="B11">
        <v>9</v>
      </c>
      <c r="C11" s="141" t="s">
        <v>44</v>
      </c>
      <c r="D11" s="135">
        <f>'informe PARCIAL 1 periodo (2)'!O42</f>
        <v>19</v>
      </c>
    </row>
    <row r="12" spans="2:4" x14ac:dyDescent="0.25">
      <c r="B12">
        <v>10</v>
      </c>
      <c r="C12" s="141" t="s">
        <v>46</v>
      </c>
      <c r="D12" s="135">
        <f>'informe PARCIAL 1 periodo (2)'!Q42</f>
        <v>12</v>
      </c>
    </row>
    <row r="13" spans="2:4" x14ac:dyDescent="0.25">
      <c r="B13">
        <v>11</v>
      </c>
      <c r="C13" s="141" t="s">
        <v>47</v>
      </c>
      <c r="D13" s="135">
        <f>'informe PARCIAL 1 periodo (2)'!R42</f>
        <v>13</v>
      </c>
    </row>
    <row r="14" spans="2:4" x14ac:dyDescent="0.25">
      <c r="B14">
        <v>12</v>
      </c>
      <c r="C14" s="141" t="s">
        <v>49</v>
      </c>
      <c r="D14" s="135">
        <f>'informe PARCIAL 1 periodo (2)'!T42</f>
        <v>14</v>
      </c>
    </row>
    <row r="15" spans="2:4" x14ac:dyDescent="0.25">
      <c r="B15">
        <v>13</v>
      </c>
      <c r="C15" s="141" t="s">
        <v>50</v>
      </c>
      <c r="D15" s="135">
        <f>'informe PARCIAL 1 periodo (2)'!U42</f>
        <v>13</v>
      </c>
    </row>
    <row r="16" spans="2:4" ht="33.75" x14ac:dyDescent="0.25">
      <c r="C16" s="141" t="s">
        <v>51</v>
      </c>
      <c r="D16" s="135">
        <f>'informe PARCIAL 1 periodo (2)'!V42</f>
        <v>10</v>
      </c>
    </row>
    <row r="25" spans="6:9" ht="15.75" thickBot="1" x14ac:dyDescent="0.3"/>
    <row r="26" spans="6:9" ht="34.5" thickBot="1" x14ac:dyDescent="0.55000000000000004">
      <c r="F26" s="87" t="s">
        <v>107</v>
      </c>
      <c r="G26" s="87" t="s">
        <v>108</v>
      </c>
      <c r="H26" s="57"/>
      <c r="I26" s="57"/>
    </row>
    <row r="27" spans="6:9" ht="27" thickBot="1" x14ac:dyDescent="0.45">
      <c r="F27" s="88" t="s">
        <v>109</v>
      </c>
      <c r="G27" s="90">
        <v>0</v>
      </c>
    </row>
    <row r="28" spans="6:9" ht="27" thickBot="1" x14ac:dyDescent="0.45">
      <c r="F28" s="89" t="s">
        <v>110</v>
      </c>
      <c r="G28" s="91">
        <v>0</v>
      </c>
    </row>
    <row r="29" spans="6:9" ht="27" thickBot="1" x14ac:dyDescent="0.45">
      <c r="F29" s="88" t="s">
        <v>111</v>
      </c>
      <c r="G29" s="90">
        <v>0</v>
      </c>
    </row>
    <row r="30" spans="6:9" ht="27" thickBot="1" x14ac:dyDescent="0.45">
      <c r="F30" s="89" t="s">
        <v>112</v>
      </c>
      <c r="G30" s="91">
        <v>0</v>
      </c>
    </row>
    <row r="31" spans="6:9" ht="27" thickBot="1" x14ac:dyDescent="0.45">
      <c r="F31" s="88" t="s">
        <v>113</v>
      </c>
      <c r="G31" s="90">
        <v>0</v>
      </c>
    </row>
    <row r="32" spans="6:9" ht="27" thickBot="1" x14ac:dyDescent="0.45">
      <c r="F32" s="89" t="s">
        <v>114</v>
      </c>
      <c r="G32" s="91">
        <v>0</v>
      </c>
    </row>
  </sheetData>
  <pageMargins left="0.7" right="0.7" top="0.75" bottom="0.75" header="0.3" footer="0.3"/>
  <pageSetup orientation="portrait" horizontalDpi="4294967292" verticalDpi="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L47"/>
  <sheetViews>
    <sheetView topLeftCell="A2" zoomScale="82" zoomScaleNormal="82" workbookViewId="0">
      <pane xSplit="3" ySplit="2" topLeftCell="D4" activePane="bottomRight" state="frozenSplit"/>
      <selection pane="topRight" activeCell="C46" sqref="C46"/>
      <selection pane="bottomLeft" activeCell="C46" sqref="C46"/>
      <selection pane="bottomRight" activeCell="A31" sqref="A31:A32"/>
    </sheetView>
  </sheetViews>
  <sheetFormatPr baseColWidth="10" defaultColWidth="11.42578125" defaultRowHeight="15" x14ac:dyDescent="0.25"/>
  <cols>
    <col min="1" max="1" width="4.42578125" customWidth="1"/>
    <col min="2" max="2" width="10" customWidth="1"/>
    <col min="3" max="3" width="38" customWidth="1"/>
    <col min="4" max="4" width="8.140625" customWidth="1"/>
    <col min="5" max="5" width="7.85546875" bestFit="1" customWidth="1"/>
    <col min="6" max="6" width="7.7109375" customWidth="1"/>
    <col min="7" max="7" width="11" customWidth="1"/>
    <col min="8" max="8" width="8.140625" customWidth="1"/>
    <col min="9" max="10" width="8.85546875" bestFit="1" customWidth="1"/>
    <col min="11" max="11" width="9.28515625" bestFit="1" customWidth="1"/>
    <col min="12" max="12" width="8.28515625" bestFit="1" customWidth="1"/>
    <col min="13" max="13" width="8.28515625" customWidth="1"/>
    <col min="14" max="15" width="7.42578125" bestFit="1" customWidth="1"/>
    <col min="16" max="16" width="6.28515625" bestFit="1" customWidth="1"/>
    <col min="17" max="17" width="6.28515625" customWidth="1"/>
    <col min="18" max="18" width="5" bestFit="1" customWidth="1"/>
    <col min="19" max="19" width="5.7109375" bestFit="1" customWidth="1"/>
    <col min="20" max="20" width="6.7109375" bestFit="1" customWidth="1"/>
    <col min="21" max="21" width="5.140625" bestFit="1" customWidth="1"/>
    <col min="22" max="22" width="4.85546875" bestFit="1" customWidth="1"/>
    <col min="23" max="23" width="3.5703125" hidden="1" customWidth="1"/>
    <col min="24" max="24" width="0" hidden="1" customWidth="1"/>
    <col min="25" max="25" width="5" hidden="1" customWidth="1"/>
    <col min="26" max="26" width="45.85546875" hidden="1" customWidth="1"/>
    <col min="27" max="27" width="14" style="57" hidden="1" customWidth="1"/>
    <col min="28" max="28" width="18" style="57" hidden="1" customWidth="1"/>
    <col min="29" max="29" width="0" style="57" hidden="1" customWidth="1"/>
    <col min="30" max="30" width="19.7109375" style="57" hidden="1" customWidth="1"/>
    <col min="31" max="31" width="9.85546875" style="57" customWidth="1"/>
    <col min="32" max="35" width="11.42578125" style="57"/>
    <col min="36" max="36" width="18.7109375" style="57" bestFit="1" customWidth="1"/>
    <col min="37" max="40" width="11.42578125" style="57"/>
    <col min="41" max="41" width="31.85546875" style="57" customWidth="1"/>
    <col min="42" max="64" width="11.42578125" style="57"/>
  </cols>
  <sheetData>
    <row r="1" spans="1:64" ht="15.75" thickBot="1" x14ac:dyDescent="0.3">
      <c r="A1" s="175" t="s">
        <v>27</v>
      </c>
      <c r="B1" s="176"/>
      <c r="C1" s="6" t="s">
        <v>28</v>
      </c>
      <c r="D1" s="6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8"/>
      <c r="W1" s="179" t="s">
        <v>29</v>
      </c>
    </row>
    <row r="2" spans="1:64" ht="102" thickBot="1" x14ac:dyDescent="0.3">
      <c r="A2" s="76" t="s">
        <v>30</v>
      </c>
      <c r="B2" s="74" t="s">
        <v>31</v>
      </c>
      <c r="C2" s="77" t="s">
        <v>32</v>
      </c>
      <c r="D2" s="100" t="s">
        <v>33</v>
      </c>
      <c r="E2" s="92" t="s">
        <v>34</v>
      </c>
      <c r="F2" s="92" t="s">
        <v>35</v>
      </c>
      <c r="G2" s="100" t="s">
        <v>36</v>
      </c>
      <c r="H2" s="93" t="s">
        <v>37</v>
      </c>
      <c r="I2" s="93" t="s">
        <v>38</v>
      </c>
      <c r="J2" s="97" t="s">
        <v>39</v>
      </c>
      <c r="K2" s="97" t="s">
        <v>40</v>
      </c>
      <c r="L2" s="100" t="s">
        <v>41</v>
      </c>
      <c r="M2" s="92" t="s">
        <v>42</v>
      </c>
      <c r="N2" s="92" t="s">
        <v>43</v>
      </c>
      <c r="O2" s="92" t="s">
        <v>44</v>
      </c>
      <c r="P2" s="100" t="s">
        <v>45</v>
      </c>
      <c r="Q2" s="92" t="s">
        <v>46</v>
      </c>
      <c r="R2" s="92" t="s">
        <v>47</v>
      </c>
      <c r="S2" s="100" t="s">
        <v>48</v>
      </c>
      <c r="T2" s="94" t="s">
        <v>49</v>
      </c>
      <c r="U2" s="95" t="s">
        <v>50</v>
      </c>
      <c r="V2" s="98" t="s">
        <v>51</v>
      </c>
      <c r="W2" s="180"/>
      <c r="X2" s="66" t="s">
        <v>52</v>
      </c>
      <c r="Y2" s="67" t="s">
        <v>53</v>
      </c>
      <c r="Z2" s="68" t="s">
        <v>54</v>
      </c>
    </row>
    <row r="3" spans="1:64" ht="15.75" thickBot="1" x14ac:dyDescent="0.3">
      <c r="A3" s="101"/>
      <c r="B3" s="101"/>
      <c r="C3" s="101"/>
      <c r="D3" s="116">
        <v>3</v>
      </c>
      <c r="E3" s="116">
        <v>3</v>
      </c>
      <c r="F3" s="116">
        <v>3</v>
      </c>
      <c r="G3" s="116">
        <v>3</v>
      </c>
      <c r="H3" s="116">
        <v>3</v>
      </c>
      <c r="I3" s="116">
        <v>3</v>
      </c>
      <c r="J3" s="116">
        <v>3</v>
      </c>
      <c r="K3" s="116">
        <v>3</v>
      </c>
      <c r="L3" s="116">
        <v>3</v>
      </c>
      <c r="M3" s="116">
        <v>3</v>
      </c>
      <c r="N3" s="116">
        <v>3</v>
      </c>
      <c r="O3" s="116">
        <v>3</v>
      </c>
      <c r="P3" s="116">
        <v>3</v>
      </c>
      <c r="Q3" s="116">
        <v>3</v>
      </c>
      <c r="R3" s="116">
        <v>3</v>
      </c>
      <c r="S3" s="116">
        <v>3</v>
      </c>
      <c r="T3" s="116">
        <v>3</v>
      </c>
      <c r="U3" s="116">
        <v>3</v>
      </c>
      <c r="V3" s="116">
        <v>3</v>
      </c>
      <c r="W3" s="182"/>
      <c r="X3" s="59"/>
      <c r="Y3" s="59"/>
      <c r="Z3" s="59"/>
      <c r="AF3" s="57" t="s">
        <v>55</v>
      </c>
      <c r="AG3" s="57" t="s">
        <v>56</v>
      </c>
    </row>
    <row r="4" spans="1:64" s="56" customFormat="1" ht="16.5" thickBot="1" x14ac:dyDescent="0.3">
      <c r="A4" s="142">
        <v>1</v>
      </c>
      <c r="B4" s="143"/>
      <c r="C4" s="224" t="s">
        <v>275</v>
      </c>
      <c r="D4" s="145"/>
      <c r="E4" s="145"/>
      <c r="F4" s="145" t="s">
        <v>58</v>
      </c>
      <c r="G4" s="145"/>
      <c r="H4" s="146"/>
      <c r="I4" s="146"/>
      <c r="J4" s="145"/>
      <c r="K4" s="145"/>
      <c r="L4" s="145"/>
      <c r="M4" s="145"/>
      <c r="N4" s="145"/>
      <c r="O4" s="145"/>
      <c r="P4" s="145"/>
      <c r="Q4" s="145"/>
      <c r="R4" s="145"/>
      <c r="S4" s="145" t="s">
        <v>58</v>
      </c>
      <c r="T4" s="145" t="s">
        <v>58</v>
      </c>
      <c r="U4" s="145"/>
      <c r="V4" s="145"/>
      <c r="W4" s="110">
        <f>COUNTIF(D4:V4,"X")-X4</f>
        <v>2</v>
      </c>
      <c r="X4" s="59">
        <f>COUNTA(D4,G4,L4,P4,S4)</f>
        <v>1</v>
      </c>
      <c r="Y4" s="59">
        <f>COUNTA(J4,K4,V4)</f>
        <v>0</v>
      </c>
      <c r="Z4" s="59" t="str">
        <f>IF(AND(X4=0,Y4=0),"Felicitaciones por el buen rendimiento Académico",IF(AND(X4=1,Y4=1),"Pasas con logros Pendientes",IF(AND(X4=1,Y4=0),"Pasas con logros Pendientes",IF(AND(X4=0,Y4=1),"Pasas con logros Pendientes","Tu año esta en riesgo de perderse"))))</f>
        <v>Pasas con logros Pendientes</v>
      </c>
      <c r="AA4" s="57">
        <f>X4+Y4</f>
        <v>1</v>
      </c>
      <c r="AB4" s="57"/>
      <c r="AC4" s="57"/>
      <c r="AD4" s="57"/>
      <c r="AE4" s="57"/>
      <c r="AF4" s="79">
        <f>(COUNTIF(D4:V4,"X")-AG4)</f>
        <v>2</v>
      </c>
      <c r="AG4" s="57">
        <v>1</v>
      </c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  <c r="AW4" s="57"/>
      <c r="AX4" s="57"/>
      <c r="AY4" s="57"/>
      <c r="AZ4" s="57"/>
      <c r="BA4" s="57"/>
      <c r="BB4" s="57"/>
      <c r="BC4" s="57"/>
      <c r="BD4" s="57"/>
      <c r="BE4" s="57"/>
      <c r="BF4" s="57"/>
      <c r="BG4" s="57"/>
      <c r="BH4" s="57"/>
      <c r="BI4" s="57"/>
      <c r="BJ4" s="57"/>
      <c r="BK4" s="57"/>
      <c r="BL4" s="57"/>
    </row>
    <row r="5" spans="1:64" ht="16.5" thickBot="1" x14ac:dyDescent="0.3">
      <c r="A5" s="142">
        <v>2</v>
      </c>
      <c r="B5" s="143"/>
      <c r="C5" s="224" t="s">
        <v>276</v>
      </c>
      <c r="D5" s="145"/>
      <c r="E5" s="145"/>
      <c r="F5" s="145" t="s">
        <v>58</v>
      </c>
      <c r="G5" s="145"/>
      <c r="H5" s="146"/>
      <c r="I5" s="146"/>
      <c r="J5" s="145"/>
      <c r="K5" s="145"/>
      <c r="L5" s="145"/>
      <c r="M5" s="145"/>
      <c r="N5" s="145"/>
      <c r="O5" s="145"/>
      <c r="P5" s="145" t="s">
        <v>58</v>
      </c>
      <c r="Q5" s="145"/>
      <c r="R5" s="145" t="s">
        <v>58</v>
      </c>
      <c r="S5" s="145" t="s">
        <v>58</v>
      </c>
      <c r="T5" s="145" t="s">
        <v>58</v>
      </c>
      <c r="U5" s="145" t="s">
        <v>58</v>
      </c>
      <c r="V5" s="145" t="s">
        <v>58</v>
      </c>
      <c r="W5" s="110">
        <f t="shared" ref="W5:W29" si="0">COUNTIF(D5:V5,"X")-X5</f>
        <v>5</v>
      </c>
      <c r="X5" s="59">
        <f t="shared" ref="X5:X29" si="1">COUNTA(D5,G5,L5,P5,S5)</f>
        <v>2</v>
      </c>
      <c r="Y5" s="59">
        <f t="shared" ref="Y5:Y29" si="2">COUNTA(J5,K5,V5)</f>
        <v>1</v>
      </c>
      <c r="Z5" s="59" t="str">
        <f t="shared" ref="Z5:Z29" si="3">IF(AND(X5=0,Y5=0),"Felicitaciones por el buen rendimiento Académico",IF(AND(X5=1,Y5=1),"Pasas con logros Pendientes",IF(AND(X5=1,Y5=0),"Pasas con logros Pendientes",IF(AND(X5=0,Y5=1),"Pasas con logros Pendientes","Tu año esta en riesgo de perderse"))))</f>
        <v>Tu año esta en riesgo de perderse</v>
      </c>
      <c r="AA5" s="57">
        <f t="shared" ref="AA5:AA29" si="4">X5+Y5</f>
        <v>3</v>
      </c>
      <c r="AC5" s="147" t="s">
        <v>60</v>
      </c>
      <c r="AD5" s="147" t="s">
        <v>61</v>
      </c>
      <c r="AF5" s="79">
        <f t="shared" ref="AF5:AF32" si="5">(COUNTIF(D5:V5,"X")-AG5)</f>
        <v>4</v>
      </c>
      <c r="AG5" s="57">
        <v>3</v>
      </c>
    </row>
    <row r="6" spans="1:64" ht="15.75" customHeight="1" thickBot="1" x14ac:dyDescent="0.3">
      <c r="A6" s="142">
        <v>3</v>
      </c>
      <c r="B6" s="143"/>
      <c r="C6" s="225" t="s">
        <v>118</v>
      </c>
      <c r="D6" s="145"/>
      <c r="E6" s="145"/>
      <c r="F6" s="145"/>
      <c r="G6" s="145"/>
      <c r="H6" s="146"/>
      <c r="I6" s="146"/>
      <c r="J6" s="145" t="s">
        <v>58</v>
      </c>
      <c r="K6" s="145" t="s">
        <v>58</v>
      </c>
      <c r="L6" s="145" t="s">
        <v>58</v>
      </c>
      <c r="M6" s="145" t="s">
        <v>58</v>
      </c>
      <c r="N6" s="145" t="s">
        <v>58</v>
      </c>
      <c r="O6" s="145"/>
      <c r="P6" s="145"/>
      <c r="Q6" s="145" t="s">
        <v>58</v>
      </c>
      <c r="R6" s="145"/>
      <c r="S6" s="145"/>
      <c r="T6" s="145"/>
      <c r="U6" s="145" t="s">
        <v>58</v>
      </c>
      <c r="V6" s="145" t="s">
        <v>58</v>
      </c>
      <c r="W6" s="110">
        <f t="shared" si="0"/>
        <v>7</v>
      </c>
      <c r="X6" s="59">
        <f>COUNTA(D6,G6,L6,P6,S6)</f>
        <v>1</v>
      </c>
      <c r="Y6" s="59">
        <f t="shared" si="2"/>
        <v>3</v>
      </c>
      <c r="Z6" s="59" t="str">
        <f t="shared" si="3"/>
        <v>Tu año esta en riesgo de perderse</v>
      </c>
      <c r="AA6" s="57">
        <f t="shared" si="4"/>
        <v>4</v>
      </c>
      <c r="AC6" s="148" t="s">
        <v>2</v>
      </c>
      <c r="AD6" s="149">
        <f>COUNTIF($AA$4:$AA$29,"0")</f>
        <v>6</v>
      </c>
      <c r="AF6" s="79">
        <f t="shared" si="5"/>
        <v>7</v>
      </c>
      <c r="AG6" s="57">
        <v>1</v>
      </c>
      <c r="AI6" s="150" t="s">
        <v>63</v>
      </c>
      <c r="AJ6" s="150" t="s">
        <v>64</v>
      </c>
      <c r="AK6" s="150" t="s">
        <v>23</v>
      </c>
      <c r="AO6" s="103" t="s">
        <v>119</v>
      </c>
      <c r="AP6" s="103" t="s">
        <v>120</v>
      </c>
      <c r="AQ6" s="103" t="s">
        <v>23</v>
      </c>
    </row>
    <row r="7" spans="1:64" ht="19.5" customHeight="1" thickBot="1" x14ac:dyDescent="0.3">
      <c r="A7" s="142">
        <v>4</v>
      </c>
      <c r="B7" s="143"/>
      <c r="C7" s="224" t="s">
        <v>277</v>
      </c>
      <c r="D7" s="145" t="s">
        <v>58</v>
      </c>
      <c r="E7" s="145" t="s">
        <v>58</v>
      </c>
      <c r="F7" s="145" t="s">
        <v>58</v>
      </c>
      <c r="G7" s="145"/>
      <c r="H7" s="146"/>
      <c r="I7" s="146"/>
      <c r="J7" s="145" t="s">
        <v>58</v>
      </c>
      <c r="K7" s="145"/>
      <c r="L7" s="145"/>
      <c r="M7" s="145"/>
      <c r="N7" s="145" t="s">
        <v>58</v>
      </c>
      <c r="O7" s="145"/>
      <c r="P7" s="145" t="s">
        <v>58</v>
      </c>
      <c r="Q7" s="145" t="s">
        <v>58</v>
      </c>
      <c r="R7" s="145" t="s">
        <v>58</v>
      </c>
      <c r="S7" s="145" t="s">
        <v>58</v>
      </c>
      <c r="T7" s="145" t="s">
        <v>58</v>
      </c>
      <c r="U7" s="145" t="s">
        <v>58</v>
      </c>
      <c r="V7" s="145"/>
      <c r="W7" s="110">
        <f t="shared" si="0"/>
        <v>8</v>
      </c>
      <c r="X7" s="59">
        <f t="shared" si="1"/>
        <v>3</v>
      </c>
      <c r="Y7" s="59">
        <f t="shared" si="2"/>
        <v>1</v>
      </c>
      <c r="Z7" s="59" t="str">
        <f t="shared" si="3"/>
        <v>Tu año esta en riesgo de perderse</v>
      </c>
      <c r="AA7" s="57">
        <f t="shared" si="4"/>
        <v>4</v>
      </c>
      <c r="AC7" s="148" t="s">
        <v>3</v>
      </c>
      <c r="AD7" s="149">
        <f>COUNTIF($AA$4:$AA$29,"1")</f>
        <v>2</v>
      </c>
      <c r="AF7" s="79">
        <f t="shared" si="5"/>
        <v>7</v>
      </c>
      <c r="AG7" s="57">
        <v>4</v>
      </c>
      <c r="AI7" s="151" t="s">
        <v>2</v>
      </c>
      <c r="AJ7" s="152">
        <f>COUNTIF($AG$4:$AG$32,"0")</f>
        <v>6</v>
      </c>
      <c r="AK7" s="153">
        <f>AJ7/$AJ$17</f>
        <v>0.22222222222222221</v>
      </c>
      <c r="AO7" s="104" t="s">
        <v>122</v>
      </c>
      <c r="AP7" s="105">
        <f>AJ7</f>
        <v>6</v>
      </c>
      <c r="AQ7" s="106">
        <f>AP7/AP9</f>
        <v>0.22222222222222221</v>
      </c>
      <c r="AV7" s="57" t="s">
        <v>107</v>
      </c>
      <c r="AW7" s="57" t="s">
        <v>108</v>
      </c>
    </row>
    <row r="8" spans="1:64" ht="18.75" thickBot="1" x14ac:dyDescent="0.3">
      <c r="A8" s="142">
        <v>5</v>
      </c>
      <c r="B8" s="143"/>
      <c r="C8" s="224" t="s">
        <v>278</v>
      </c>
      <c r="D8" s="145"/>
      <c r="E8" s="145"/>
      <c r="F8" s="145"/>
      <c r="G8" s="145"/>
      <c r="H8" s="146"/>
      <c r="I8" s="146"/>
      <c r="J8" s="145"/>
      <c r="K8" s="145" t="s">
        <v>58</v>
      </c>
      <c r="L8" s="145" t="s">
        <v>58</v>
      </c>
      <c r="M8" s="145" t="s">
        <v>58</v>
      </c>
      <c r="N8" s="145" t="s">
        <v>58</v>
      </c>
      <c r="O8" s="145"/>
      <c r="P8" s="145" t="s">
        <v>58</v>
      </c>
      <c r="Q8" s="145"/>
      <c r="R8" s="145" t="s">
        <v>58</v>
      </c>
      <c r="S8" s="145" t="s">
        <v>58</v>
      </c>
      <c r="T8" s="145" t="s">
        <v>58</v>
      </c>
      <c r="U8" s="145"/>
      <c r="V8" s="145"/>
      <c r="W8" s="110">
        <f t="shared" si="0"/>
        <v>5</v>
      </c>
      <c r="X8" s="59">
        <f t="shared" si="1"/>
        <v>3</v>
      </c>
      <c r="Y8" s="59">
        <f t="shared" si="2"/>
        <v>1</v>
      </c>
      <c r="Z8" s="59" t="str">
        <f>IF(AND(X8=0,Y8=0),"Felicitaciones por el buen rendimiento Académico",IF(AND(X8=1,Y8=1),"Pasas con logros Pendientes",IF(AND(X8=1,Y8=0),"Pasas con logros Pendientes",IF(AND(X8=0,Y8=1),"Pasas con logros Pendientes","Tu año esta en riesgo de perderse"))))</f>
        <v>Tu año esta en riesgo de perderse</v>
      </c>
      <c r="AA8" s="57">
        <f t="shared" si="4"/>
        <v>4</v>
      </c>
      <c r="AC8" s="148" t="s">
        <v>4</v>
      </c>
      <c r="AD8" s="149">
        <f>COUNTIF($AA$4:$AA$29,"2")</f>
        <v>4</v>
      </c>
      <c r="AF8" s="79">
        <f t="shared" si="5"/>
        <v>4</v>
      </c>
      <c r="AG8" s="57">
        <v>4</v>
      </c>
      <c r="AI8" s="151" t="s">
        <v>3</v>
      </c>
      <c r="AJ8" s="152">
        <f>COUNTIF($AG$4:$AG$32,"1")</f>
        <v>5</v>
      </c>
      <c r="AK8" s="153">
        <f t="shared" ref="AK8:AK15" si="6">AJ8/$AJ$17</f>
        <v>0.18518518518518517</v>
      </c>
      <c r="AO8" s="104" t="s">
        <v>123</v>
      </c>
      <c r="AP8" s="105">
        <f>AP9-AP7</f>
        <v>21</v>
      </c>
      <c r="AQ8" s="106">
        <f>AP8/AP9</f>
        <v>0.77777777777777779</v>
      </c>
    </row>
    <row r="9" spans="1:64" ht="18.75" thickBot="1" x14ac:dyDescent="0.3">
      <c r="A9" s="142">
        <v>6</v>
      </c>
      <c r="B9" s="143"/>
      <c r="C9" s="224" t="s">
        <v>279</v>
      </c>
      <c r="D9" s="145"/>
      <c r="E9" s="145"/>
      <c r="F9" s="145"/>
      <c r="G9" s="145"/>
      <c r="H9" s="146"/>
      <c r="I9" s="146"/>
      <c r="J9" s="145" t="s">
        <v>58</v>
      </c>
      <c r="K9" s="145"/>
      <c r="L9" s="145" t="s">
        <v>58</v>
      </c>
      <c r="M9" s="145" t="s">
        <v>58</v>
      </c>
      <c r="N9" s="145" t="s">
        <v>58</v>
      </c>
      <c r="O9" s="145"/>
      <c r="P9" s="145" t="s">
        <v>58</v>
      </c>
      <c r="Q9" s="145" t="s">
        <v>58</v>
      </c>
      <c r="R9" s="145" t="s">
        <v>58</v>
      </c>
      <c r="S9" s="145" t="s">
        <v>58</v>
      </c>
      <c r="T9" s="145" t="s">
        <v>58</v>
      </c>
      <c r="U9" s="145" t="s">
        <v>58</v>
      </c>
      <c r="V9" s="145" t="s">
        <v>58</v>
      </c>
      <c r="W9" s="110">
        <f t="shared" si="0"/>
        <v>8</v>
      </c>
      <c r="X9" s="59">
        <f t="shared" si="1"/>
        <v>3</v>
      </c>
      <c r="Y9" s="59">
        <f t="shared" si="2"/>
        <v>2</v>
      </c>
      <c r="Z9" s="59" t="str">
        <f t="shared" si="3"/>
        <v>Tu año esta en riesgo de perderse</v>
      </c>
      <c r="AA9" s="57">
        <f t="shared" si="4"/>
        <v>5</v>
      </c>
      <c r="AC9" s="148" t="s">
        <v>5</v>
      </c>
      <c r="AD9" s="149">
        <f>COUNTIF($AA$4:$AA$29,"3")</f>
        <v>5</v>
      </c>
      <c r="AF9" s="79">
        <f>(COUNTIF(D9:V9,"X")-AG9)</f>
        <v>6</v>
      </c>
      <c r="AG9" s="57">
        <v>5</v>
      </c>
      <c r="AI9" s="151" t="s">
        <v>4</v>
      </c>
      <c r="AJ9" s="152">
        <f>COUNTIF($AG$4:$AG$32,"2")</f>
        <v>4</v>
      </c>
      <c r="AK9" s="153">
        <f t="shared" si="6"/>
        <v>0.14814814814814814</v>
      </c>
      <c r="AO9" s="104" t="s">
        <v>124</v>
      </c>
      <c r="AP9" s="105">
        <f>AJ17</f>
        <v>27</v>
      </c>
      <c r="AQ9" s="106">
        <v>1</v>
      </c>
    </row>
    <row r="10" spans="1:64" ht="16.5" thickBot="1" x14ac:dyDescent="0.3">
      <c r="A10" s="142">
        <v>7</v>
      </c>
      <c r="B10" s="143"/>
      <c r="C10" s="224" t="s">
        <v>280</v>
      </c>
      <c r="D10" s="145" t="s">
        <v>58</v>
      </c>
      <c r="E10" s="145" t="s">
        <v>58</v>
      </c>
      <c r="F10" s="145"/>
      <c r="G10" s="145"/>
      <c r="H10" s="146"/>
      <c r="I10" s="146"/>
      <c r="J10" s="145"/>
      <c r="K10" s="145" t="s">
        <v>58</v>
      </c>
      <c r="L10" s="145"/>
      <c r="M10" s="145"/>
      <c r="N10" s="145"/>
      <c r="O10" s="145"/>
      <c r="P10" s="145"/>
      <c r="Q10" s="145" t="s">
        <v>58</v>
      </c>
      <c r="R10" s="145"/>
      <c r="S10" s="145" t="s">
        <v>58</v>
      </c>
      <c r="T10" s="145" t="s">
        <v>58</v>
      </c>
      <c r="U10" s="145" t="s">
        <v>58</v>
      </c>
      <c r="V10" s="145"/>
      <c r="W10" s="110">
        <f t="shared" si="0"/>
        <v>5</v>
      </c>
      <c r="X10" s="59">
        <f t="shared" si="1"/>
        <v>2</v>
      </c>
      <c r="Y10" s="59">
        <f t="shared" si="2"/>
        <v>1</v>
      </c>
      <c r="Z10" s="59" t="str">
        <f t="shared" si="3"/>
        <v>Tu año esta en riesgo de perderse</v>
      </c>
      <c r="AA10" s="57">
        <f t="shared" si="4"/>
        <v>3</v>
      </c>
      <c r="AC10" s="148" t="s">
        <v>6</v>
      </c>
      <c r="AD10" s="149">
        <f>COUNTIF($AA$4:$AA$29,"4")</f>
        <v>5</v>
      </c>
      <c r="AF10" s="79">
        <f t="shared" si="5"/>
        <v>4</v>
      </c>
      <c r="AG10" s="57">
        <v>3</v>
      </c>
      <c r="AI10" s="151" t="s">
        <v>5</v>
      </c>
      <c r="AJ10" s="152">
        <f>COUNTIF($AG$4:$AG$32,"3")</f>
        <v>4</v>
      </c>
      <c r="AK10" s="153">
        <f t="shared" si="6"/>
        <v>0.14814814814814814</v>
      </c>
    </row>
    <row r="11" spans="1:64" ht="16.5" thickBot="1" x14ac:dyDescent="0.3">
      <c r="A11" s="142">
        <v>8</v>
      </c>
      <c r="B11" s="143"/>
      <c r="C11" s="224" t="s">
        <v>126</v>
      </c>
      <c r="D11" s="145"/>
      <c r="E11" s="145"/>
      <c r="F11" s="145"/>
      <c r="G11" s="145"/>
      <c r="H11" s="146"/>
      <c r="I11" s="146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10">
        <f t="shared" si="0"/>
        <v>0</v>
      </c>
      <c r="X11" s="59">
        <f t="shared" si="1"/>
        <v>0</v>
      </c>
      <c r="Y11" s="59">
        <f t="shared" si="2"/>
        <v>0</v>
      </c>
      <c r="Z11" s="59" t="str">
        <f t="shared" si="3"/>
        <v>Felicitaciones por el buen rendimiento Académico</v>
      </c>
      <c r="AA11" s="57">
        <f t="shared" si="4"/>
        <v>0</v>
      </c>
      <c r="AC11" s="148" t="s">
        <v>7</v>
      </c>
      <c r="AD11" s="149">
        <f>COUNTIF($AA$4:$AA$29,"5")</f>
        <v>3</v>
      </c>
      <c r="AF11" s="79">
        <f t="shared" si="5"/>
        <v>0</v>
      </c>
      <c r="AG11" s="57">
        <v>0</v>
      </c>
      <c r="AI11" s="151" t="s">
        <v>6</v>
      </c>
      <c r="AJ11" s="152">
        <f>COUNTIF($AG$4:$AG$32,"4")</f>
        <v>4</v>
      </c>
      <c r="AK11" s="153">
        <f t="shared" si="6"/>
        <v>0.14814814814814814</v>
      </c>
    </row>
    <row r="12" spans="1:64" ht="16.5" thickBot="1" x14ac:dyDescent="0.3">
      <c r="A12" s="142">
        <v>9</v>
      </c>
      <c r="B12" s="143"/>
      <c r="C12" s="224" t="s">
        <v>281</v>
      </c>
      <c r="D12" s="145"/>
      <c r="E12" s="145"/>
      <c r="F12" s="145"/>
      <c r="G12" s="145"/>
      <c r="H12" s="146"/>
      <c r="I12" s="146"/>
      <c r="J12" s="145"/>
      <c r="K12" s="145" t="s">
        <v>58</v>
      </c>
      <c r="L12" s="145"/>
      <c r="M12" s="145"/>
      <c r="N12" s="145" t="s">
        <v>58</v>
      </c>
      <c r="O12" s="145"/>
      <c r="P12" s="145"/>
      <c r="Q12" s="145"/>
      <c r="R12" s="145"/>
      <c r="S12" s="145"/>
      <c r="T12" s="145"/>
      <c r="U12" s="145"/>
      <c r="V12" s="145" t="s">
        <v>58</v>
      </c>
      <c r="W12" s="110">
        <f t="shared" si="0"/>
        <v>3</v>
      </c>
      <c r="X12" s="59">
        <f t="shared" si="1"/>
        <v>0</v>
      </c>
      <c r="Y12" s="59">
        <f t="shared" si="2"/>
        <v>2</v>
      </c>
      <c r="Z12" s="59" t="str">
        <f t="shared" si="3"/>
        <v>Tu año esta en riesgo de perderse</v>
      </c>
      <c r="AA12" s="57">
        <f t="shared" si="4"/>
        <v>2</v>
      </c>
      <c r="AC12" s="148" t="s">
        <v>8</v>
      </c>
      <c r="AD12" s="149">
        <f>COUNTIF($AA$4:$AA$29,"6")</f>
        <v>1</v>
      </c>
      <c r="AF12" s="79">
        <f t="shared" si="5"/>
        <v>2</v>
      </c>
      <c r="AG12" s="57">
        <v>1</v>
      </c>
      <c r="AI12" s="151" t="s">
        <v>7</v>
      </c>
      <c r="AJ12" s="152">
        <f>COUNTIF($AG$4:$AG$32,"5")</f>
        <v>3</v>
      </c>
      <c r="AK12" s="153">
        <f t="shared" si="6"/>
        <v>0.1111111111111111</v>
      </c>
    </row>
    <row r="13" spans="1:64" ht="16.5" thickBot="1" x14ac:dyDescent="0.3">
      <c r="A13" s="142">
        <v>10</v>
      </c>
      <c r="B13" s="143"/>
      <c r="C13" s="224" t="s">
        <v>282</v>
      </c>
      <c r="D13" s="145" t="s">
        <v>58</v>
      </c>
      <c r="E13" s="145" t="s">
        <v>58</v>
      </c>
      <c r="F13" s="145" t="s">
        <v>58</v>
      </c>
      <c r="G13" s="145"/>
      <c r="H13" s="146"/>
      <c r="I13" s="146"/>
      <c r="J13" s="145" t="s">
        <v>58</v>
      </c>
      <c r="K13" s="145"/>
      <c r="L13" s="145"/>
      <c r="M13" s="145"/>
      <c r="N13" s="145" t="s">
        <v>58</v>
      </c>
      <c r="O13" s="145"/>
      <c r="P13" s="145" t="s">
        <v>58</v>
      </c>
      <c r="Q13" s="145"/>
      <c r="R13" s="145" t="s">
        <v>58</v>
      </c>
      <c r="S13" s="145"/>
      <c r="T13" s="145"/>
      <c r="U13" s="145" t="s">
        <v>58</v>
      </c>
      <c r="V13" s="145" t="s">
        <v>58</v>
      </c>
      <c r="W13" s="110">
        <f t="shared" si="0"/>
        <v>7</v>
      </c>
      <c r="X13" s="59">
        <f t="shared" si="1"/>
        <v>2</v>
      </c>
      <c r="Y13" s="59">
        <f t="shared" si="2"/>
        <v>2</v>
      </c>
      <c r="Z13" s="59" t="str">
        <f t="shared" si="3"/>
        <v>Tu año esta en riesgo de perderse</v>
      </c>
      <c r="AA13" s="57">
        <f t="shared" si="4"/>
        <v>4</v>
      </c>
      <c r="AC13" s="148" t="s">
        <v>9</v>
      </c>
      <c r="AD13" s="149">
        <f>COUNTIF($AA$4:$AA$29,"7")</f>
        <v>0</v>
      </c>
      <c r="AF13" s="79">
        <f t="shared" si="5"/>
        <v>5</v>
      </c>
      <c r="AG13" s="57">
        <v>4</v>
      </c>
      <c r="AI13" s="151" t="s">
        <v>8</v>
      </c>
      <c r="AJ13" s="152">
        <f>COUNTIF($AG$4:$AG$32,"6")</f>
        <v>1</v>
      </c>
      <c r="AK13" s="153">
        <f t="shared" si="6"/>
        <v>3.7037037037037035E-2</v>
      </c>
    </row>
    <row r="14" spans="1:64" ht="16.5" thickBot="1" x14ac:dyDescent="0.3">
      <c r="A14" s="142">
        <v>11</v>
      </c>
      <c r="B14" s="143"/>
      <c r="C14" s="224" t="s">
        <v>128</v>
      </c>
      <c r="D14" s="145"/>
      <c r="E14" s="145"/>
      <c r="F14" s="145"/>
      <c r="G14" s="145"/>
      <c r="H14" s="146"/>
      <c r="I14" s="146"/>
      <c r="J14" s="145"/>
      <c r="K14" s="145"/>
      <c r="L14" s="145"/>
      <c r="M14" s="145"/>
      <c r="N14" s="145"/>
      <c r="O14" s="145"/>
      <c r="P14" s="145"/>
      <c r="Q14" s="145"/>
      <c r="R14" s="145"/>
      <c r="S14" s="145"/>
      <c r="T14" s="145"/>
      <c r="U14" s="145"/>
      <c r="V14" s="145"/>
      <c r="W14" s="110">
        <f t="shared" si="0"/>
        <v>0</v>
      </c>
      <c r="X14" s="59">
        <f t="shared" si="1"/>
        <v>0</v>
      </c>
      <c r="Y14" s="59">
        <f t="shared" si="2"/>
        <v>0</v>
      </c>
      <c r="Z14" s="59" t="str">
        <f t="shared" si="3"/>
        <v>Felicitaciones por el buen rendimiento Académico</v>
      </c>
      <c r="AA14" s="57">
        <f t="shared" si="4"/>
        <v>0</v>
      </c>
      <c r="AC14" s="148" t="s">
        <v>10</v>
      </c>
      <c r="AD14" s="149">
        <f>COUNTIF($AA$4:$AA$29,"8")</f>
        <v>0</v>
      </c>
      <c r="AF14" s="79">
        <f t="shared" si="5"/>
        <v>0</v>
      </c>
      <c r="AG14" s="57">
        <v>0</v>
      </c>
      <c r="AI14" s="151" t="s">
        <v>9</v>
      </c>
      <c r="AJ14" s="152">
        <f>COUNTIF($AG$4:$AG$32,"7")</f>
        <v>0</v>
      </c>
      <c r="AK14" s="153">
        <f t="shared" si="6"/>
        <v>0</v>
      </c>
    </row>
    <row r="15" spans="1:64" ht="16.5" thickBot="1" x14ac:dyDescent="0.3">
      <c r="A15" s="142">
        <v>12</v>
      </c>
      <c r="B15" s="143"/>
      <c r="C15" s="224" t="s">
        <v>129</v>
      </c>
      <c r="D15" s="145"/>
      <c r="E15" s="145"/>
      <c r="F15" s="145"/>
      <c r="G15" s="145"/>
      <c r="H15" s="146"/>
      <c r="I15" s="146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5"/>
      <c r="U15" s="145"/>
      <c r="V15" s="145"/>
      <c r="W15" s="110">
        <f t="shared" si="0"/>
        <v>0</v>
      </c>
      <c r="X15" s="59">
        <f t="shared" si="1"/>
        <v>0</v>
      </c>
      <c r="Y15" s="59">
        <f t="shared" si="2"/>
        <v>0</v>
      </c>
      <c r="Z15" s="59" t="str">
        <f t="shared" si="3"/>
        <v>Felicitaciones por el buen rendimiento Académico</v>
      </c>
      <c r="AA15" s="57">
        <f t="shared" si="4"/>
        <v>0</v>
      </c>
      <c r="AC15" s="60"/>
      <c r="AF15" s="79">
        <f t="shared" si="5"/>
        <v>0</v>
      </c>
      <c r="AG15" s="57">
        <v>0</v>
      </c>
      <c r="AI15" s="151" t="s">
        <v>10</v>
      </c>
      <c r="AJ15" s="152">
        <f>COUNTIF($AG$4:$AG$32,"8")</f>
        <v>0</v>
      </c>
      <c r="AK15" s="153">
        <f t="shared" si="6"/>
        <v>0</v>
      </c>
    </row>
    <row r="16" spans="1:64" s="56" customFormat="1" ht="15.75" thickBot="1" x14ac:dyDescent="0.3">
      <c r="A16" s="142">
        <v>13</v>
      </c>
      <c r="B16" s="143"/>
      <c r="C16" s="224" t="s">
        <v>283</v>
      </c>
      <c r="D16" s="145"/>
      <c r="E16" s="145"/>
      <c r="F16" s="145"/>
      <c r="G16" s="145"/>
      <c r="H16" s="146"/>
      <c r="I16" s="146"/>
      <c r="J16" s="145"/>
      <c r="K16" s="145" t="s">
        <v>58</v>
      </c>
      <c r="L16" s="145"/>
      <c r="M16" s="145"/>
      <c r="N16" s="145"/>
      <c r="O16" s="145"/>
      <c r="P16" s="145"/>
      <c r="Q16" s="145"/>
      <c r="R16" s="145"/>
      <c r="S16" s="145"/>
      <c r="T16" s="145"/>
      <c r="U16" s="145" t="s">
        <v>58</v>
      </c>
      <c r="V16" s="145" t="s">
        <v>58</v>
      </c>
      <c r="W16" s="154">
        <f t="shared" si="0"/>
        <v>3</v>
      </c>
      <c r="X16" s="59">
        <f t="shared" si="1"/>
        <v>0</v>
      </c>
      <c r="Y16" s="59">
        <f t="shared" si="2"/>
        <v>2</v>
      </c>
      <c r="Z16" s="59" t="str">
        <f t="shared" si="3"/>
        <v>Tu año esta en riesgo de perderse</v>
      </c>
      <c r="AA16" s="57">
        <f t="shared" si="4"/>
        <v>2</v>
      </c>
      <c r="AB16" s="57"/>
      <c r="AC16" s="60"/>
      <c r="AD16" s="57"/>
      <c r="AE16" s="57"/>
      <c r="AF16" s="79">
        <f t="shared" si="5"/>
        <v>2</v>
      </c>
      <c r="AG16" s="57">
        <v>1</v>
      </c>
      <c r="AH16" s="57"/>
      <c r="AI16" s="41"/>
      <c r="AJ16"/>
      <c r="AK16" s="107"/>
      <c r="AL16" s="57"/>
      <c r="AM16" s="57"/>
      <c r="AN16" s="57"/>
      <c r="AO16" s="57"/>
      <c r="AP16" s="57"/>
      <c r="AQ16" s="57"/>
      <c r="AR16" s="57"/>
      <c r="AS16" s="57"/>
      <c r="AT16" s="57"/>
      <c r="AU16" s="57"/>
      <c r="AV16" s="57"/>
      <c r="AW16" s="57"/>
      <c r="AX16" s="57"/>
      <c r="AY16" s="57"/>
      <c r="AZ16" s="57"/>
      <c r="BA16" s="57"/>
      <c r="BB16" s="57"/>
      <c r="BC16" s="57"/>
      <c r="BD16" s="57"/>
      <c r="BE16" s="57"/>
      <c r="BF16" s="57"/>
      <c r="BG16" s="57"/>
      <c r="BH16" s="57"/>
      <c r="BI16" s="57"/>
      <c r="BJ16" s="57"/>
      <c r="BK16" s="57"/>
      <c r="BL16" s="57"/>
    </row>
    <row r="17" spans="1:64" s="56" customFormat="1" ht="19.5" thickBot="1" x14ac:dyDescent="0.35">
      <c r="A17" s="142">
        <v>14</v>
      </c>
      <c r="B17" s="143"/>
      <c r="C17" s="224" t="s">
        <v>131</v>
      </c>
      <c r="D17" s="145"/>
      <c r="E17" s="145"/>
      <c r="F17" s="145"/>
      <c r="G17" s="145"/>
      <c r="H17" s="146"/>
      <c r="I17" s="146"/>
      <c r="J17" s="145"/>
      <c r="K17" s="145"/>
      <c r="L17" s="145"/>
      <c r="M17" s="145"/>
      <c r="N17" s="145"/>
      <c r="O17" s="145"/>
      <c r="P17" s="145"/>
      <c r="Q17" s="145"/>
      <c r="R17" s="145"/>
      <c r="S17" s="145"/>
      <c r="T17" s="145"/>
      <c r="U17" s="145"/>
      <c r="V17" s="145"/>
      <c r="W17" s="154"/>
      <c r="X17" s="59">
        <f t="shared" si="1"/>
        <v>0</v>
      </c>
      <c r="Y17" s="59">
        <f t="shared" si="2"/>
        <v>0</v>
      </c>
      <c r="Z17" s="59" t="str">
        <f t="shared" si="3"/>
        <v>Felicitaciones por el buen rendimiento Académico</v>
      </c>
      <c r="AA17" s="57">
        <f t="shared" si="4"/>
        <v>0</v>
      </c>
      <c r="AB17" s="57"/>
      <c r="AC17" s="60"/>
      <c r="AD17" s="57"/>
      <c r="AE17" s="57"/>
      <c r="AF17" s="79">
        <f t="shared" si="5"/>
        <v>0</v>
      </c>
      <c r="AG17" s="57">
        <v>0</v>
      </c>
      <c r="AH17" s="57"/>
      <c r="AI17" s="108" t="s">
        <v>124</v>
      </c>
      <c r="AJ17" s="135">
        <f>SUM(AJ7:AJ16)</f>
        <v>27</v>
      </c>
      <c r="AK17" s="155">
        <f>SUM(AK7:AK16)</f>
        <v>1</v>
      </c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</row>
    <row r="18" spans="1:64" ht="16.5" thickBot="1" x14ac:dyDescent="0.3">
      <c r="A18" s="142">
        <v>15</v>
      </c>
      <c r="B18" s="143"/>
      <c r="C18" s="224" t="s">
        <v>284</v>
      </c>
      <c r="D18" s="145"/>
      <c r="E18" s="145"/>
      <c r="F18" s="145"/>
      <c r="G18" s="145"/>
      <c r="H18" s="146"/>
      <c r="I18" s="146"/>
      <c r="J18" s="145" t="s">
        <v>58</v>
      </c>
      <c r="K18" s="145"/>
      <c r="L18" s="145"/>
      <c r="M18" s="145"/>
      <c r="N18" s="145" t="s">
        <v>58</v>
      </c>
      <c r="O18" s="145"/>
      <c r="P18" s="145" t="s">
        <v>58</v>
      </c>
      <c r="Q18" s="145"/>
      <c r="R18" s="145" t="s">
        <v>58</v>
      </c>
      <c r="S18" s="145"/>
      <c r="T18" s="145"/>
      <c r="U18" s="145"/>
      <c r="V18" s="145"/>
      <c r="W18" s="110">
        <f t="shared" si="0"/>
        <v>3</v>
      </c>
      <c r="X18" s="59">
        <f t="shared" si="1"/>
        <v>1</v>
      </c>
      <c r="Y18" s="59">
        <f t="shared" si="2"/>
        <v>1</v>
      </c>
      <c r="Z18" s="59" t="str">
        <f t="shared" si="3"/>
        <v>Pasas con logros Pendientes</v>
      </c>
      <c r="AA18" s="57">
        <f t="shared" si="4"/>
        <v>2</v>
      </c>
      <c r="AF18" s="79">
        <f t="shared" si="5"/>
        <v>2</v>
      </c>
      <c r="AG18" s="57">
        <v>2</v>
      </c>
    </row>
    <row r="19" spans="1:64" ht="16.5" thickBot="1" x14ac:dyDescent="0.3">
      <c r="A19" s="142">
        <v>16</v>
      </c>
      <c r="B19" s="143"/>
      <c r="C19" s="224" t="s">
        <v>285</v>
      </c>
      <c r="D19" s="145" t="s">
        <v>58</v>
      </c>
      <c r="E19" s="145" t="s">
        <v>58</v>
      </c>
      <c r="F19" s="145"/>
      <c r="G19" s="145"/>
      <c r="H19" s="146"/>
      <c r="I19" s="146"/>
      <c r="J19" s="145" t="s">
        <v>58</v>
      </c>
      <c r="K19" s="145"/>
      <c r="L19" s="145" t="s">
        <v>58</v>
      </c>
      <c r="M19" s="145" t="s">
        <v>58</v>
      </c>
      <c r="N19" s="145" t="s">
        <v>58</v>
      </c>
      <c r="O19" s="145"/>
      <c r="P19" s="145" t="s">
        <v>58</v>
      </c>
      <c r="Q19" s="145" t="s">
        <v>58</v>
      </c>
      <c r="R19" s="145" t="s">
        <v>58</v>
      </c>
      <c r="S19" s="145" t="s">
        <v>58</v>
      </c>
      <c r="T19" s="145" t="s">
        <v>58</v>
      </c>
      <c r="U19" s="145" t="s">
        <v>58</v>
      </c>
      <c r="V19" s="145" t="s">
        <v>58</v>
      </c>
      <c r="W19" s="110">
        <f t="shared" si="0"/>
        <v>9</v>
      </c>
      <c r="X19" s="59">
        <f t="shared" si="1"/>
        <v>4</v>
      </c>
      <c r="Y19" s="59">
        <f t="shared" si="2"/>
        <v>2</v>
      </c>
      <c r="Z19" s="59" t="str">
        <f t="shared" si="3"/>
        <v>Tu año esta en riesgo de perderse</v>
      </c>
      <c r="AA19" s="57">
        <f t="shared" si="4"/>
        <v>6</v>
      </c>
      <c r="AF19" s="79">
        <f t="shared" si="5"/>
        <v>7</v>
      </c>
      <c r="AG19" s="57">
        <v>6</v>
      </c>
    </row>
    <row r="20" spans="1:64" ht="16.5" thickBot="1" x14ac:dyDescent="0.3">
      <c r="A20" s="142">
        <v>17</v>
      </c>
      <c r="B20" s="143"/>
      <c r="C20" s="224" t="s">
        <v>134</v>
      </c>
      <c r="D20" s="145" t="s">
        <v>58</v>
      </c>
      <c r="E20" s="145" t="s">
        <v>58</v>
      </c>
      <c r="F20" s="145"/>
      <c r="G20" s="145"/>
      <c r="H20" s="146"/>
      <c r="I20" s="146"/>
      <c r="J20" s="145" t="s">
        <v>58</v>
      </c>
      <c r="K20" s="145"/>
      <c r="L20" s="145" t="s">
        <v>58</v>
      </c>
      <c r="M20" s="145" t="s">
        <v>58</v>
      </c>
      <c r="N20" s="145"/>
      <c r="O20" s="145"/>
      <c r="P20" s="145"/>
      <c r="Q20" s="145"/>
      <c r="R20" s="145"/>
      <c r="S20" s="145" t="s">
        <v>58</v>
      </c>
      <c r="T20" s="145" t="s">
        <v>58</v>
      </c>
      <c r="U20" s="145" t="s">
        <v>58</v>
      </c>
      <c r="V20" s="145"/>
      <c r="W20" s="110">
        <f t="shared" si="0"/>
        <v>5</v>
      </c>
      <c r="X20" s="59">
        <f t="shared" si="1"/>
        <v>3</v>
      </c>
      <c r="Y20" s="59">
        <f t="shared" si="2"/>
        <v>1</v>
      </c>
      <c r="Z20" s="59" t="str">
        <f t="shared" si="3"/>
        <v>Tu año esta en riesgo de perderse</v>
      </c>
      <c r="AA20" s="57">
        <f t="shared" si="4"/>
        <v>4</v>
      </c>
      <c r="AF20" s="79">
        <f t="shared" si="5"/>
        <v>4</v>
      </c>
      <c r="AG20" s="57">
        <v>4</v>
      </c>
    </row>
    <row r="21" spans="1:64" ht="16.5" thickBot="1" x14ac:dyDescent="0.3">
      <c r="A21" s="142">
        <v>18</v>
      </c>
      <c r="B21" s="143"/>
      <c r="C21" s="224" t="s">
        <v>286</v>
      </c>
      <c r="D21" s="145"/>
      <c r="E21" s="145"/>
      <c r="F21" s="145"/>
      <c r="G21" s="145"/>
      <c r="H21" s="146"/>
      <c r="I21" s="146"/>
      <c r="J21" s="145" t="s">
        <v>58</v>
      </c>
      <c r="K21" s="145" t="s">
        <v>58</v>
      </c>
      <c r="L21" s="145"/>
      <c r="M21" s="145"/>
      <c r="N21" s="145"/>
      <c r="O21" s="145"/>
      <c r="P21" s="145"/>
      <c r="Q21" s="145"/>
      <c r="R21" s="145"/>
      <c r="S21" s="145"/>
      <c r="T21" s="145"/>
      <c r="U21" s="145"/>
      <c r="V21" s="145" t="s">
        <v>58</v>
      </c>
      <c r="W21" s="110">
        <f t="shared" si="0"/>
        <v>3</v>
      </c>
      <c r="X21" s="59">
        <f t="shared" si="1"/>
        <v>0</v>
      </c>
      <c r="Y21" s="59">
        <f t="shared" si="2"/>
        <v>3</v>
      </c>
      <c r="Z21" s="59" t="str">
        <f t="shared" si="3"/>
        <v>Tu año esta en riesgo de perderse</v>
      </c>
      <c r="AA21" s="57">
        <f t="shared" si="4"/>
        <v>3</v>
      </c>
      <c r="AF21" s="79">
        <f t="shared" si="5"/>
        <v>1</v>
      </c>
      <c r="AG21" s="57">
        <v>2</v>
      </c>
    </row>
    <row r="22" spans="1:64" ht="16.5" thickBot="1" x14ac:dyDescent="0.3">
      <c r="A22" s="142">
        <v>19</v>
      </c>
      <c r="B22" s="143"/>
      <c r="C22" s="224" t="s">
        <v>287</v>
      </c>
      <c r="D22" s="145" t="s">
        <v>58</v>
      </c>
      <c r="E22" s="145" t="s">
        <v>58</v>
      </c>
      <c r="F22" s="145" t="s">
        <v>58</v>
      </c>
      <c r="G22" s="145"/>
      <c r="H22" s="146"/>
      <c r="I22" s="146"/>
      <c r="J22" s="145" t="s">
        <v>58</v>
      </c>
      <c r="K22" s="145" t="s">
        <v>58</v>
      </c>
      <c r="L22" s="145"/>
      <c r="M22" s="145"/>
      <c r="N22" s="145"/>
      <c r="O22" s="145"/>
      <c r="P22" s="145" t="s">
        <v>58</v>
      </c>
      <c r="Q22" s="145" t="s">
        <v>58</v>
      </c>
      <c r="R22" s="145" t="s">
        <v>58</v>
      </c>
      <c r="S22" s="145" t="s">
        <v>58</v>
      </c>
      <c r="T22" s="145" t="s">
        <v>58</v>
      </c>
      <c r="U22" s="145" t="s">
        <v>58</v>
      </c>
      <c r="V22" s="145"/>
      <c r="W22" s="110">
        <f t="shared" si="0"/>
        <v>8</v>
      </c>
      <c r="X22" s="59">
        <f t="shared" si="1"/>
        <v>3</v>
      </c>
      <c r="Y22" s="59">
        <f t="shared" si="2"/>
        <v>2</v>
      </c>
      <c r="Z22" s="59" t="str">
        <f t="shared" si="3"/>
        <v>Tu año esta en riesgo de perderse</v>
      </c>
      <c r="AA22" s="57">
        <f t="shared" si="4"/>
        <v>5</v>
      </c>
      <c r="AF22" s="79">
        <f t="shared" si="5"/>
        <v>6</v>
      </c>
      <c r="AG22" s="57">
        <v>5</v>
      </c>
    </row>
    <row r="23" spans="1:64" ht="16.5" thickBot="1" x14ac:dyDescent="0.3">
      <c r="A23" s="142">
        <v>20</v>
      </c>
      <c r="B23" s="143"/>
      <c r="C23" s="224" t="s">
        <v>288</v>
      </c>
      <c r="D23" s="145"/>
      <c r="E23" s="145"/>
      <c r="F23" s="145" t="s">
        <v>58</v>
      </c>
      <c r="G23" s="145"/>
      <c r="H23" s="146"/>
      <c r="I23" s="146"/>
      <c r="J23" s="145" t="s">
        <v>58</v>
      </c>
      <c r="K23" s="145"/>
      <c r="L23" s="145"/>
      <c r="M23" s="145"/>
      <c r="N23" s="145"/>
      <c r="O23" s="145"/>
      <c r="P23" s="145" t="s">
        <v>58</v>
      </c>
      <c r="Q23" s="145" t="s">
        <v>58</v>
      </c>
      <c r="R23" s="145" t="s">
        <v>58</v>
      </c>
      <c r="S23" s="145"/>
      <c r="T23" s="145"/>
      <c r="U23" s="145"/>
      <c r="V23" s="145"/>
      <c r="W23" s="110">
        <f t="shared" si="0"/>
        <v>4</v>
      </c>
      <c r="X23" s="59">
        <f t="shared" si="1"/>
        <v>1</v>
      </c>
      <c r="Y23" s="59">
        <f t="shared" si="2"/>
        <v>1</v>
      </c>
      <c r="Z23" s="59" t="str">
        <f t="shared" si="3"/>
        <v>Pasas con logros Pendientes</v>
      </c>
      <c r="AA23" s="57">
        <f t="shared" si="4"/>
        <v>2</v>
      </c>
      <c r="AF23" s="79">
        <f t="shared" si="5"/>
        <v>3</v>
      </c>
      <c r="AG23" s="57">
        <v>2</v>
      </c>
    </row>
    <row r="24" spans="1:64" ht="16.5" thickBot="1" x14ac:dyDescent="0.3">
      <c r="A24" s="142">
        <v>21</v>
      </c>
      <c r="B24" s="143"/>
      <c r="C24" s="224" t="s">
        <v>138</v>
      </c>
      <c r="D24" s="145"/>
      <c r="E24" s="145"/>
      <c r="F24" s="145" t="s">
        <v>58</v>
      </c>
      <c r="G24" s="145"/>
      <c r="H24" s="146"/>
      <c r="I24" s="146"/>
      <c r="J24" s="145" t="s">
        <v>58</v>
      </c>
      <c r="K24" s="145"/>
      <c r="L24" s="145" t="s">
        <v>58</v>
      </c>
      <c r="M24" s="145" t="s">
        <v>58</v>
      </c>
      <c r="N24" s="145"/>
      <c r="O24" s="145"/>
      <c r="P24" s="145" t="s">
        <v>58</v>
      </c>
      <c r="Q24" s="145" t="s">
        <v>58</v>
      </c>
      <c r="R24" s="145" t="s">
        <v>58</v>
      </c>
      <c r="S24" s="145" t="s">
        <v>58</v>
      </c>
      <c r="T24" s="145" t="s">
        <v>58</v>
      </c>
      <c r="U24" s="145" t="s">
        <v>58</v>
      </c>
      <c r="V24" s="145" t="s">
        <v>58</v>
      </c>
      <c r="W24" s="110">
        <f t="shared" si="0"/>
        <v>8</v>
      </c>
      <c r="X24" s="59">
        <f t="shared" si="1"/>
        <v>3</v>
      </c>
      <c r="Y24" s="59">
        <f t="shared" si="2"/>
        <v>2</v>
      </c>
      <c r="Z24" s="59" t="str">
        <f t="shared" si="3"/>
        <v>Tu año esta en riesgo de perderse</v>
      </c>
      <c r="AA24" s="57">
        <f t="shared" si="4"/>
        <v>5</v>
      </c>
      <c r="AF24" s="79">
        <f t="shared" si="5"/>
        <v>6</v>
      </c>
      <c r="AG24" s="57">
        <v>5</v>
      </c>
    </row>
    <row r="25" spans="1:64" ht="16.5" thickBot="1" x14ac:dyDescent="0.3">
      <c r="A25" s="142">
        <v>22</v>
      </c>
      <c r="B25" s="143"/>
      <c r="C25" s="224" t="s">
        <v>289</v>
      </c>
      <c r="D25" s="145"/>
      <c r="E25" s="145"/>
      <c r="F25" s="145" t="s">
        <v>58</v>
      </c>
      <c r="G25" s="145"/>
      <c r="H25" s="146"/>
      <c r="I25" s="146"/>
      <c r="J25" s="145"/>
      <c r="K25" s="145"/>
      <c r="L25" s="145"/>
      <c r="M25" s="145"/>
      <c r="N25" s="145"/>
      <c r="O25" s="145"/>
      <c r="P25" s="145"/>
      <c r="Q25" s="145" t="s">
        <v>58</v>
      </c>
      <c r="R25" s="145"/>
      <c r="S25" s="145"/>
      <c r="T25" s="145"/>
      <c r="U25" s="145" t="s">
        <v>58</v>
      </c>
      <c r="V25" s="145"/>
      <c r="W25" s="110">
        <f t="shared" si="0"/>
        <v>3</v>
      </c>
      <c r="X25" s="59">
        <f t="shared" si="1"/>
        <v>0</v>
      </c>
      <c r="Y25" s="59">
        <f t="shared" si="2"/>
        <v>0</v>
      </c>
      <c r="Z25" s="59" t="str">
        <f t="shared" si="3"/>
        <v>Felicitaciones por el buen rendimiento Académico</v>
      </c>
      <c r="AA25" s="57">
        <f t="shared" si="4"/>
        <v>0</v>
      </c>
      <c r="AF25" s="79">
        <f t="shared" si="5"/>
        <v>3</v>
      </c>
      <c r="AG25" s="57">
        <v>0</v>
      </c>
    </row>
    <row r="26" spans="1:64" ht="16.5" thickBot="1" x14ac:dyDescent="0.3">
      <c r="A26" s="142">
        <v>23</v>
      </c>
      <c r="B26" s="143"/>
      <c r="C26" s="224" t="s">
        <v>290</v>
      </c>
      <c r="D26" s="145"/>
      <c r="E26" s="145"/>
      <c r="F26" s="145" t="s">
        <v>58</v>
      </c>
      <c r="G26" s="145"/>
      <c r="H26" s="146"/>
      <c r="I26" s="146"/>
      <c r="J26" s="145" t="s">
        <v>58</v>
      </c>
      <c r="K26" s="145"/>
      <c r="L26" s="145"/>
      <c r="M26" s="145"/>
      <c r="N26" s="145"/>
      <c r="O26" s="145"/>
      <c r="P26" s="145" t="s">
        <v>58</v>
      </c>
      <c r="Q26" s="145"/>
      <c r="R26" s="145" t="s">
        <v>58</v>
      </c>
      <c r="S26" s="145" t="s">
        <v>58</v>
      </c>
      <c r="T26" s="145" t="s">
        <v>58</v>
      </c>
      <c r="U26" s="145" t="s">
        <v>58</v>
      </c>
      <c r="V26" s="145"/>
      <c r="W26" s="110">
        <f t="shared" si="0"/>
        <v>5</v>
      </c>
      <c r="X26" s="59">
        <f t="shared" si="1"/>
        <v>2</v>
      </c>
      <c r="Y26" s="59">
        <f t="shared" si="2"/>
        <v>1</v>
      </c>
      <c r="Z26" s="59" t="str">
        <f t="shared" si="3"/>
        <v>Tu año esta en riesgo de perderse</v>
      </c>
      <c r="AA26" s="57">
        <f t="shared" si="4"/>
        <v>3</v>
      </c>
      <c r="AF26" s="79">
        <f t="shared" si="5"/>
        <v>4</v>
      </c>
      <c r="AG26" s="57">
        <v>3</v>
      </c>
    </row>
    <row r="27" spans="1:64" ht="16.5" thickBot="1" x14ac:dyDescent="0.3">
      <c r="A27" s="142">
        <v>24</v>
      </c>
      <c r="B27" s="143"/>
      <c r="C27" s="224" t="s">
        <v>141</v>
      </c>
      <c r="D27" s="145"/>
      <c r="E27" s="145"/>
      <c r="F27" s="145"/>
      <c r="G27" s="145"/>
      <c r="H27" s="146"/>
      <c r="I27" s="146"/>
      <c r="J27" s="145"/>
      <c r="K27" s="145" t="s">
        <v>58</v>
      </c>
      <c r="L27" s="145"/>
      <c r="M27" s="145"/>
      <c r="N27" s="145"/>
      <c r="O27" s="145"/>
      <c r="P27" s="145"/>
      <c r="Q27" s="145"/>
      <c r="R27" s="145"/>
      <c r="S27" s="145"/>
      <c r="T27" s="145"/>
      <c r="U27" s="145" t="s">
        <v>58</v>
      </c>
      <c r="V27" s="145"/>
      <c r="W27" s="110">
        <f t="shared" si="0"/>
        <v>2</v>
      </c>
      <c r="X27" s="59">
        <f t="shared" si="1"/>
        <v>0</v>
      </c>
      <c r="Y27" s="59">
        <f t="shared" si="2"/>
        <v>1</v>
      </c>
      <c r="Z27" s="59" t="str">
        <f t="shared" si="3"/>
        <v>Pasas con logros Pendientes</v>
      </c>
      <c r="AA27" s="57">
        <f t="shared" si="4"/>
        <v>1</v>
      </c>
      <c r="AF27" s="79">
        <f t="shared" si="5"/>
        <v>1</v>
      </c>
      <c r="AG27" s="57">
        <v>1</v>
      </c>
    </row>
    <row r="28" spans="1:64" ht="16.5" thickBot="1" x14ac:dyDescent="0.3">
      <c r="A28" s="142">
        <v>25</v>
      </c>
      <c r="B28" s="143"/>
      <c r="C28" s="224" t="s">
        <v>291</v>
      </c>
      <c r="D28" s="145"/>
      <c r="E28" s="145"/>
      <c r="F28" s="145"/>
      <c r="G28" s="145"/>
      <c r="H28" s="146"/>
      <c r="I28" s="146"/>
      <c r="J28" s="145" t="s">
        <v>58</v>
      </c>
      <c r="K28" s="145"/>
      <c r="L28" s="145"/>
      <c r="M28" s="145"/>
      <c r="N28" s="145"/>
      <c r="O28" s="145"/>
      <c r="P28" s="145"/>
      <c r="Q28" s="145"/>
      <c r="R28" s="145"/>
      <c r="S28" s="145" t="s">
        <v>58</v>
      </c>
      <c r="T28" s="145" t="s">
        <v>58</v>
      </c>
      <c r="U28" s="145" t="s">
        <v>58</v>
      </c>
      <c r="V28" s="145" t="s">
        <v>58</v>
      </c>
      <c r="W28" s="110">
        <f t="shared" si="0"/>
        <v>4</v>
      </c>
      <c r="X28" s="59">
        <f t="shared" si="1"/>
        <v>1</v>
      </c>
      <c r="Y28" s="59">
        <f t="shared" si="2"/>
        <v>2</v>
      </c>
      <c r="Z28" s="59" t="str">
        <f t="shared" si="3"/>
        <v>Tu año esta en riesgo de perderse</v>
      </c>
      <c r="AA28" s="57">
        <f t="shared" si="4"/>
        <v>3</v>
      </c>
      <c r="AF28" s="79">
        <f t="shared" si="5"/>
        <v>2</v>
      </c>
      <c r="AG28" s="57">
        <v>3</v>
      </c>
    </row>
    <row r="29" spans="1:64" ht="16.5" thickBot="1" x14ac:dyDescent="0.3">
      <c r="A29" s="142">
        <v>26</v>
      </c>
      <c r="B29" s="156"/>
      <c r="C29" s="224" t="s">
        <v>142</v>
      </c>
      <c r="D29" s="145"/>
      <c r="E29" s="145"/>
      <c r="F29" s="145"/>
      <c r="G29" s="145"/>
      <c r="H29" s="146"/>
      <c r="I29" s="146"/>
      <c r="J29" s="145"/>
      <c r="K29" s="145"/>
      <c r="L29" s="145"/>
      <c r="M29" s="145"/>
      <c r="N29" s="145"/>
      <c r="O29" s="145"/>
      <c r="P29" s="145"/>
      <c r="Q29" s="145"/>
      <c r="R29" s="145"/>
      <c r="S29" s="145"/>
      <c r="T29" s="145"/>
      <c r="U29" s="145"/>
      <c r="V29" s="145"/>
      <c r="W29" s="110">
        <f t="shared" si="0"/>
        <v>0</v>
      </c>
      <c r="X29" s="59">
        <f t="shared" si="1"/>
        <v>0</v>
      </c>
      <c r="Y29" s="59">
        <f t="shared" si="2"/>
        <v>0</v>
      </c>
      <c r="Z29" s="59" t="str">
        <f t="shared" si="3"/>
        <v>Felicitaciones por el buen rendimiento Académico</v>
      </c>
      <c r="AA29" s="57">
        <f t="shared" si="4"/>
        <v>0</v>
      </c>
      <c r="AF29" s="79">
        <f t="shared" si="5"/>
        <v>0</v>
      </c>
      <c r="AG29" s="57">
        <v>0</v>
      </c>
    </row>
    <row r="30" spans="1:64" x14ac:dyDescent="0.25">
      <c r="A30" s="142">
        <v>27</v>
      </c>
      <c r="B30" s="157"/>
      <c r="C30" s="224" t="s">
        <v>292</v>
      </c>
      <c r="D30" s="145"/>
      <c r="E30" s="145"/>
      <c r="F30" s="145"/>
      <c r="G30" s="145"/>
      <c r="H30" s="158"/>
      <c r="I30" s="158"/>
      <c r="J30" s="145"/>
      <c r="K30" s="145" t="s">
        <v>58</v>
      </c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 t="s">
        <v>58</v>
      </c>
      <c r="AF30" s="79">
        <f t="shared" si="5"/>
        <v>0</v>
      </c>
      <c r="AG30" s="57">
        <v>2</v>
      </c>
    </row>
    <row r="31" spans="1:64" x14ac:dyDescent="0.25">
      <c r="A31" s="142"/>
      <c r="B31" s="157"/>
      <c r="C31" s="144"/>
      <c r="D31" s="145"/>
      <c r="E31" s="145"/>
      <c r="F31" s="145"/>
      <c r="G31" s="145"/>
      <c r="H31" s="158"/>
      <c r="I31" s="158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AF31" s="79"/>
    </row>
    <row r="32" spans="1:64" ht="15.75" thickBot="1" x14ac:dyDescent="0.3">
      <c r="A32" s="111"/>
      <c r="B32" s="112"/>
      <c r="C32" s="115"/>
      <c r="D32" s="113" t="s">
        <v>116</v>
      </c>
      <c r="E32" s="113" t="s">
        <v>116</v>
      </c>
      <c r="F32" s="113" t="s">
        <v>116</v>
      </c>
      <c r="G32" s="113" t="s">
        <v>116</v>
      </c>
      <c r="H32" s="114"/>
      <c r="I32" s="114"/>
      <c r="J32" s="113" t="s">
        <v>58</v>
      </c>
      <c r="K32" s="113" t="s">
        <v>116</v>
      </c>
      <c r="L32" s="113" t="s">
        <v>116</v>
      </c>
      <c r="M32" s="113" t="s">
        <v>116</v>
      </c>
      <c r="N32" s="113" t="s">
        <v>116</v>
      </c>
      <c r="O32" s="113" t="s">
        <v>58</v>
      </c>
      <c r="P32" s="113" t="s">
        <v>116</v>
      </c>
      <c r="Q32" s="113" t="s">
        <v>116</v>
      </c>
      <c r="R32" s="113" t="s">
        <v>116</v>
      </c>
      <c r="S32" s="113" t="s">
        <v>116</v>
      </c>
      <c r="T32" s="113" t="s">
        <v>116</v>
      </c>
      <c r="U32" s="113" t="s">
        <v>58</v>
      </c>
      <c r="V32" s="113" t="s">
        <v>116</v>
      </c>
      <c r="AF32" s="79"/>
    </row>
    <row r="33" spans="1:30" x14ac:dyDescent="0.25">
      <c r="A33" s="109"/>
      <c r="D33">
        <f t="shared" ref="D33:V33" si="7">COUNTIF(D4:D29,"X")</f>
        <v>6</v>
      </c>
      <c r="E33">
        <f t="shared" si="7"/>
        <v>6</v>
      </c>
      <c r="F33">
        <f t="shared" si="7"/>
        <v>9</v>
      </c>
      <c r="G33">
        <f t="shared" si="7"/>
        <v>0</v>
      </c>
      <c r="H33">
        <f t="shared" si="7"/>
        <v>0</v>
      </c>
      <c r="I33">
        <f t="shared" si="7"/>
        <v>0</v>
      </c>
      <c r="J33">
        <f t="shared" si="7"/>
        <v>13</v>
      </c>
      <c r="K33">
        <f t="shared" si="7"/>
        <v>8</v>
      </c>
      <c r="L33">
        <f t="shared" si="7"/>
        <v>6</v>
      </c>
      <c r="M33">
        <f t="shared" si="7"/>
        <v>6</v>
      </c>
      <c r="N33">
        <f t="shared" si="7"/>
        <v>8</v>
      </c>
      <c r="O33">
        <f t="shared" si="7"/>
        <v>0</v>
      </c>
      <c r="P33">
        <f t="shared" si="7"/>
        <v>11</v>
      </c>
      <c r="Q33">
        <f t="shared" si="7"/>
        <v>9</v>
      </c>
      <c r="R33">
        <f t="shared" si="7"/>
        <v>11</v>
      </c>
      <c r="S33">
        <f t="shared" si="7"/>
        <v>12</v>
      </c>
      <c r="T33">
        <f t="shared" si="7"/>
        <v>12</v>
      </c>
      <c r="U33">
        <f t="shared" si="7"/>
        <v>15</v>
      </c>
      <c r="V33">
        <f t="shared" si="7"/>
        <v>10</v>
      </c>
    </row>
    <row r="34" spans="1:30" x14ac:dyDescent="0.25">
      <c r="A34" s="133"/>
    </row>
    <row r="35" spans="1:30" x14ac:dyDescent="0.25">
      <c r="A35" s="133"/>
    </row>
    <row r="36" spans="1:30" x14ac:dyDescent="0.25">
      <c r="A36" s="133"/>
    </row>
    <row r="37" spans="1:30" x14ac:dyDescent="0.25">
      <c r="A37" s="133"/>
    </row>
    <row r="38" spans="1:30" x14ac:dyDescent="0.25">
      <c r="A38" s="133"/>
    </row>
    <row r="39" spans="1:30" x14ac:dyDescent="0.25">
      <c r="A39" s="133"/>
    </row>
    <row r="40" spans="1:30" x14ac:dyDescent="0.25">
      <c r="A40" s="133"/>
    </row>
    <row r="41" spans="1:30" x14ac:dyDescent="0.25">
      <c r="A41" s="133"/>
    </row>
    <row r="42" spans="1:30" x14ac:dyDescent="0.25">
      <c r="A42" s="133"/>
      <c r="AA42" s="134" t="s">
        <v>99</v>
      </c>
      <c r="AB42" s="134"/>
      <c r="AC42" s="134" t="s">
        <v>100</v>
      </c>
      <c r="AD42" s="134" t="s">
        <v>23</v>
      </c>
    </row>
    <row r="43" spans="1:30" x14ac:dyDescent="0.25">
      <c r="A43" s="133"/>
      <c r="AA43" s="135" t="s">
        <v>101</v>
      </c>
      <c r="AB43" s="135"/>
      <c r="AC43" s="149">
        <f>COUNTIF(Z4:Z29,"Felicitaciones por el buen rendimiento Académico")+1</f>
        <v>7</v>
      </c>
      <c r="AD43" s="136">
        <f>AC43/$AC$46</f>
        <v>0.1891891891891892</v>
      </c>
    </row>
    <row r="44" spans="1:30" x14ac:dyDescent="0.25">
      <c r="A44" s="133"/>
      <c r="AA44" s="135" t="s">
        <v>102</v>
      </c>
      <c r="AB44" s="135"/>
      <c r="AC44" s="149">
        <f>COUNTIF($Z$4:$Z$29,"Pasas con logros Pendientes")</f>
        <v>4</v>
      </c>
      <c r="AD44" s="136">
        <f>AC44/$AC$46</f>
        <v>0.10810810810810811</v>
      </c>
    </row>
    <row r="45" spans="1:30" x14ac:dyDescent="0.25">
      <c r="A45" s="133"/>
      <c r="AA45" s="134" t="s">
        <v>103</v>
      </c>
      <c r="AB45" s="134"/>
      <c r="AC45" s="149">
        <f>COUNTIF($Z$4:$Z$29,"Tu año esta en riesgo de perderse")</f>
        <v>16</v>
      </c>
      <c r="AD45" s="136">
        <f>AC45/$AC$46</f>
        <v>0.43243243243243246</v>
      </c>
    </row>
    <row r="46" spans="1:30" ht="20.25" x14ac:dyDescent="0.3">
      <c r="A46" s="137"/>
      <c r="AA46" s="138" t="s">
        <v>104</v>
      </c>
      <c r="AB46" s="138"/>
      <c r="AC46" s="138">
        <v>37</v>
      </c>
      <c r="AD46" s="139">
        <v>1</v>
      </c>
    </row>
    <row r="47" spans="1:30" ht="15.75" thickBot="1" x14ac:dyDescent="0.3">
      <c r="A47" s="35"/>
    </row>
  </sheetData>
  <sheetProtection algorithmName="SHA-512" hashValue="/8ToonvDa3CoiH9c2VewHIcA9WLaUB3BDU1FLIyJ4dEYto/IAuzDtwfLcTW8bXcNMUTwSPmxRCZMoYSv9fxRcA==" saltValue="kfhTRQGscim8ESzuYH6K+A==" spinCount="100000" sheet="1" objects="1" scenarios="1"/>
  <autoFilter ref="AF3:AG32" xr:uid="{00000000-0001-0000-0100-000000000000}"/>
  <mergeCells count="3">
    <mergeCell ref="A1:B1"/>
    <mergeCell ref="E1:V1"/>
    <mergeCell ref="W1:W3"/>
  </mergeCells>
  <conditionalFormatting sqref="B4:B28">
    <cfRule type="cellIs" dxfId="17" priority="34" operator="equal">
      <formula>"X"</formula>
    </cfRule>
  </conditionalFormatting>
  <conditionalFormatting sqref="D4:G32">
    <cfRule type="cellIs" dxfId="16" priority="16" operator="equal">
      <formula>"bj"</formula>
    </cfRule>
  </conditionalFormatting>
  <conditionalFormatting sqref="J4:V32">
    <cfRule type="cellIs" dxfId="15" priority="1" operator="equal">
      <formula>"bj"</formula>
    </cfRule>
  </conditionalFormatting>
  <conditionalFormatting sqref="W16:W17">
    <cfRule type="cellIs" dxfId="14" priority="68" operator="equal">
      <formula>$J$5</formula>
    </cfRule>
  </conditionalFormatting>
  <conditionalFormatting sqref="Z4:Z29">
    <cfRule type="cellIs" dxfId="13" priority="44" stopIfTrue="1" operator="equal">
      <formula>"Felicitaciones por el buen rendimiento Académico"</formula>
    </cfRule>
    <cfRule type="notContainsText" dxfId="12" priority="45" stopIfTrue="1" operator="notContains" text="Felicitaciones…pasas a noveno">
      <formula>ISERROR(SEARCH("Felicitaciones…pasas a noveno",Z4))</formula>
    </cfRule>
    <cfRule type="containsText" dxfId="11" priority="46" stopIfTrue="1" operator="containsText" text="Tu año esta en riesgo de perderse">
      <formula>NOT(ISERROR(SEARCH("Tu año esta en riesgo de perderse",Z4)))</formula>
    </cfRule>
    <cfRule type="containsText" dxfId="10" priority="47" stopIfTrue="1" operator="containsText" text="Felicitaciones…pasas a noveno">
      <formula>NOT(ISERROR(SEARCH("Felicitaciones…pasas a noveno",Z4)))</formula>
    </cfRule>
  </conditionalFormatting>
  <printOptions horizontalCentered="1" gridLines="1"/>
  <pageMargins left="0.11811023622047245" right="0.59055118110236227" top="0.39370078740157483" bottom="0.39370078740157483" header="0.19685039370078741" footer="0.19685039370078741"/>
  <pageSetup paperSize="14" scale="95" orientation="landscape" r:id="rId1"/>
  <headerFooter>
    <oddFooter>&amp;CC:\Master2000\ - Página &amp;P de &amp;N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28"/>
  <sheetViews>
    <sheetView showGridLines="0" tabSelected="1" zoomScale="91" zoomScaleNormal="91" workbookViewId="0">
      <selection activeCell="B10" sqref="B10:C10"/>
    </sheetView>
  </sheetViews>
  <sheetFormatPr baseColWidth="10" defaultColWidth="11.42578125" defaultRowHeight="15" x14ac:dyDescent="0.25"/>
  <cols>
    <col min="1" max="1" width="2.85546875" customWidth="1"/>
    <col min="2" max="2" width="15.140625" customWidth="1"/>
    <col min="3" max="3" width="33" customWidth="1"/>
    <col min="4" max="4" width="20.28515625" customWidth="1"/>
    <col min="5" max="5" width="4.5703125" customWidth="1"/>
    <col min="6" max="6" width="4" customWidth="1"/>
    <col min="7" max="7" width="82.85546875" customWidth="1"/>
    <col min="8" max="8" width="3.5703125" customWidth="1"/>
  </cols>
  <sheetData>
    <row r="1" spans="2:12" ht="6" customHeight="1" thickBot="1" x14ac:dyDescent="0.3"/>
    <row r="2" spans="2:12" ht="18.75" x14ac:dyDescent="0.3">
      <c r="B2" s="25"/>
      <c r="C2" s="49" t="s">
        <v>144</v>
      </c>
      <c r="D2" s="26"/>
    </row>
    <row r="3" spans="2:12" ht="18.75" x14ac:dyDescent="0.3">
      <c r="B3" s="187" t="s">
        <v>145</v>
      </c>
      <c r="C3" s="188"/>
      <c r="D3" s="189"/>
    </row>
    <row r="4" spans="2:12" ht="18.75" thickBot="1" x14ac:dyDescent="0.3">
      <c r="B4" s="190" t="s">
        <v>293</v>
      </c>
      <c r="C4" s="191"/>
      <c r="D4" s="192"/>
      <c r="L4" s="43"/>
    </row>
    <row r="5" spans="2:12" ht="15.75" thickBot="1" x14ac:dyDescent="0.3">
      <c r="B5" s="27" t="s">
        <v>146</v>
      </c>
      <c r="C5" s="34"/>
      <c r="D5" s="117"/>
    </row>
    <row r="6" spans="2:12" x14ac:dyDescent="0.25">
      <c r="B6" s="28" t="s">
        <v>147</v>
      </c>
      <c r="C6" s="185" t="str">
        <f>IF(ISBLANK(C5),"",IF(ISERROR(VLOOKUP(C5,BDNOTAS,3,FALSE)),"No existe",VLOOKUP(C5,BDNOTAS,3,FALSE)))</f>
        <v/>
      </c>
      <c r="D6" s="186"/>
    </row>
    <row r="7" spans="2:12" ht="15.75" thickBot="1" x14ac:dyDescent="0.3">
      <c r="B7" s="29"/>
      <c r="C7" s="30"/>
      <c r="D7" s="31"/>
    </row>
    <row r="8" spans="2:12" ht="19.5" thickBot="1" x14ac:dyDescent="0.35">
      <c r="B8" s="193" t="s">
        <v>148</v>
      </c>
      <c r="C8" s="194"/>
      <c r="D8" s="63" t="s">
        <v>149</v>
      </c>
    </row>
    <row r="9" spans="2:12" ht="15.75" customHeight="1" thickBot="1" x14ac:dyDescent="0.3">
      <c r="B9" s="195" t="s">
        <v>33</v>
      </c>
      <c r="C9" s="196"/>
      <c r="D9" s="44" t="str">
        <f>IF(ISERROR(VLOOKUP($C$5,BDNOTAS,4,FALSE)),"",VLOOKUP($C$5,BDNOTAS,4,FALSE))</f>
        <v/>
      </c>
    </row>
    <row r="10" spans="2:12" ht="15.75" customHeight="1" thickBot="1" x14ac:dyDescent="0.3">
      <c r="B10" s="201" t="s">
        <v>34</v>
      </c>
      <c r="C10" s="202"/>
      <c r="D10" s="45" t="str">
        <f>IF(ISERROR(VLOOKUP($C$5,BDNOTAS,5,FALSE)),"",VLOOKUP($C$5,BDNOTAS,5,FALSE))</f>
        <v/>
      </c>
    </row>
    <row r="11" spans="2:12" ht="15" customHeight="1" thickBot="1" x14ac:dyDescent="0.35">
      <c r="B11" s="203" t="s">
        <v>35</v>
      </c>
      <c r="C11" s="204"/>
      <c r="D11" s="45" t="str">
        <f>IF(ISERROR(VLOOKUP($C$5,BDNOTAS,6,FALSE)),"",VLOOKUP($C$5,BDNOTAS,6,FALSE))</f>
        <v/>
      </c>
      <c r="G11" s="81" t="str">
        <f>IF(ISBLANK(C5),"",IF(D28&gt;0,"Entregar Actividades Pendientes","Felicitaciones, Sigue manteniendo tu buen rendimiento Académico"))</f>
        <v/>
      </c>
    </row>
    <row r="12" spans="2:12" ht="21.75" customHeight="1" thickBot="1" x14ac:dyDescent="0.3">
      <c r="B12" s="195" t="s">
        <v>36</v>
      </c>
      <c r="C12" s="196"/>
      <c r="D12" s="44" t="str">
        <f>IF(ISERROR(VLOOKUP($C$5,BDNOTAS,7,FALSE)),"",VLOOKUP($C$5,BDNOTAS,7,FALSE))</f>
        <v/>
      </c>
    </row>
    <row r="13" spans="2:12" ht="21.75" customHeight="1" thickBot="1" x14ac:dyDescent="0.3">
      <c r="B13" s="205" t="s">
        <v>37</v>
      </c>
      <c r="C13" s="206"/>
      <c r="D13" s="55" t="str">
        <f>IF(ISERROR(VLOOKUP($C$5,BDNOTAS,8,FALSE)),"",VLOOKUP($C$5,BDNOTAS,8,FALSE))</f>
        <v/>
      </c>
    </row>
    <row r="14" spans="2:12" ht="15.75" customHeight="1" thickBot="1" x14ac:dyDescent="0.3">
      <c r="B14" s="205" t="s">
        <v>150</v>
      </c>
      <c r="C14" s="206"/>
      <c r="D14" s="55" t="str">
        <f>IF(ISERROR(VLOOKUP($C$5,BDNOTAS,9,FALSE)),"",VLOOKUP($C$5,BDNOTAS,9,FALSE))</f>
        <v/>
      </c>
    </row>
    <row r="15" spans="2:12" ht="16.5" customHeight="1" thickBot="1" x14ac:dyDescent="0.3">
      <c r="B15" s="209" t="s">
        <v>39</v>
      </c>
      <c r="C15" s="210"/>
      <c r="D15" s="44" t="str">
        <f>IF(ISERROR(VLOOKUP($C$5,BDNOTAS,10,FALSE)),"",VLOOKUP($C$5,BDNOTAS,10,FALSE))</f>
        <v/>
      </c>
    </row>
    <row r="16" spans="2:12" ht="15.75" customHeight="1" thickBot="1" x14ac:dyDescent="0.3">
      <c r="B16" s="209" t="s">
        <v>40</v>
      </c>
      <c r="C16" s="210"/>
      <c r="D16" s="44" t="str">
        <f>IF(ISERROR(VLOOKUP($C$5,BDNOTAS,11,FALSE)),"",VLOOKUP($C$5,BDNOTAS,11,FALSE))</f>
        <v/>
      </c>
    </row>
    <row r="17" spans="2:4" ht="15.75" customHeight="1" thickBot="1" x14ac:dyDescent="0.3">
      <c r="B17" s="207" t="s">
        <v>151</v>
      </c>
      <c r="C17" s="208"/>
      <c r="D17" s="44" t="str">
        <f>IF(ISERROR(VLOOKUP($C$5,BDNOTAS,12,FALSE)),"",VLOOKUP($C$5,BDNOTAS,12,FALSE))</f>
        <v/>
      </c>
    </row>
    <row r="18" spans="2:4" ht="15.75" customHeight="1" thickBot="1" x14ac:dyDescent="0.3">
      <c r="B18" s="199" t="s">
        <v>42</v>
      </c>
      <c r="C18" s="200"/>
      <c r="D18" s="46" t="str">
        <f>IF(ISERROR(VLOOKUP($C$5,BDNOTAS,13,FALSE)),"",VLOOKUP($C$5,BDNOTAS,13,FALSE))</f>
        <v/>
      </c>
    </row>
    <row r="19" spans="2:4" ht="15.75" customHeight="1" thickBot="1" x14ac:dyDescent="0.3">
      <c r="B19" s="199" t="s">
        <v>43</v>
      </c>
      <c r="C19" s="200"/>
      <c r="D19" s="46" t="str">
        <f>IF(ISERROR(VLOOKUP($C$5,BDNOTAS,14,FALSE)),"",VLOOKUP($C$5,BDNOTAS,14,FALSE))</f>
        <v/>
      </c>
    </row>
    <row r="20" spans="2:4" ht="15.75" thickBot="1" x14ac:dyDescent="0.3">
      <c r="B20" s="199" t="s">
        <v>44</v>
      </c>
      <c r="C20" s="200"/>
      <c r="D20" s="46" t="str">
        <f>IF(ISERROR(VLOOKUP($C$5,BDNOTAS,15,FALSE)),"",VLOOKUP($C$5,BDNOTAS,15,FALSE))</f>
        <v/>
      </c>
    </row>
    <row r="21" spans="2:4" ht="15.75" customHeight="1" thickBot="1" x14ac:dyDescent="0.3">
      <c r="B21" s="207" t="s">
        <v>152</v>
      </c>
      <c r="C21" s="208"/>
      <c r="D21" s="44" t="str">
        <f>IF(ISERROR(VLOOKUP($C$5,BDNOTAS,16,FALSE)),"",VLOOKUP($C$5,BDNOTAS,16,FALSE))</f>
        <v/>
      </c>
    </row>
    <row r="22" spans="2:4" ht="15.75" thickBot="1" x14ac:dyDescent="0.3">
      <c r="B22" s="183" t="s">
        <v>46</v>
      </c>
      <c r="C22" s="184"/>
      <c r="D22" s="47" t="str">
        <f>IF(ISERROR(VLOOKUP($C$5,BDNOTAS,17,FALSE)),"",VLOOKUP($C$5,BDNOTAS,17,FALSE))</f>
        <v/>
      </c>
    </row>
    <row r="23" spans="2:4" ht="15.75" thickBot="1" x14ac:dyDescent="0.3">
      <c r="B23" s="183" t="s">
        <v>153</v>
      </c>
      <c r="C23" s="184"/>
      <c r="D23" s="47" t="str">
        <f>IF(ISERROR(VLOOKUP($C$5,BDNOTAS,18,FALSE)),"",VLOOKUP($C$5,BDNOTAS,18,FALSE))</f>
        <v/>
      </c>
    </row>
    <row r="24" spans="2:4" ht="15.75" customHeight="1" thickBot="1" x14ac:dyDescent="0.3">
      <c r="B24" s="207" t="s">
        <v>154</v>
      </c>
      <c r="C24" s="208"/>
      <c r="D24" s="44" t="str">
        <f>IF(ISERROR(VLOOKUP($C$5,BDNOTAS,19,FALSE)),"",VLOOKUP($C$5,BDNOTAS,19,FALSE))</f>
        <v/>
      </c>
    </row>
    <row r="25" spans="2:4" ht="15.75" thickBot="1" x14ac:dyDescent="0.3">
      <c r="B25" s="211" t="s">
        <v>49</v>
      </c>
      <c r="C25" s="212"/>
      <c r="D25" s="48" t="str">
        <f>IF(ISERROR(VLOOKUP($C$5,BDNOTAS,20,FALSE)),"",VLOOKUP($C$5,BDNOTAS,20,FALSE))</f>
        <v/>
      </c>
    </row>
    <row r="26" spans="2:4" ht="15.75" thickBot="1" x14ac:dyDescent="0.3">
      <c r="B26" s="213" t="s">
        <v>50</v>
      </c>
      <c r="C26" s="214"/>
      <c r="D26" s="48" t="str">
        <f>IF(ISERROR(VLOOKUP($C$5,BDNOTAS,21,FALSE)),"",VLOOKUP($C$5,BDNOTAS,21,FALSE))</f>
        <v/>
      </c>
    </row>
    <row r="27" spans="2:4" ht="15.75" thickBot="1" x14ac:dyDescent="0.3">
      <c r="B27" s="197" t="s">
        <v>51</v>
      </c>
      <c r="C27" s="198"/>
      <c r="D27" s="44" t="str">
        <f>IF(ISERROR(VLOOKUP($C$5,BDNOTAS,22,FALSE)),"",VLOOKUP($C$5,BDNOTAS,22,FALSE))</f>
        <v/>
      </c>
    </row>
    <row r="28" spans="2:4" ht="19.5" thickBot="1" x14ac:dyDescent="0.35">
      <c r="B28" s="64" t="s">
        <v>155</v>
      </c>
      <c r="C28" s="65"/>
      <c r="D28" s="80">
        <f>COUNTIF(D10:D27,"x")</f>
        <v>0</v>
      </c>
    </row>
  </sheetData>
  <sheetProtection algorithmName="SHA-512" hashValue="a7Hr3E9z7ODFYeswK6Gh0WkwE87qyU/ep5nO1QZH6g4475fIqWjFV0rFR5bQC1zRjXitzRiexIwfqQD3ejzS1Q==" saltValue="UKGBC/2E1Q3JbAK+IJq8Yw==" spinCount="100000" sheet="1" objects="1" scenarios="1"/>
  <mergeCells count="23">
    <mergeCell ref="B27:C27"/>
    <mergeCell ref="B18:C18"/>
    <mergeCell ref="B10:C10"/>
    <mergeCell ref="B11:C11"/>
    <mergeCell ref="B12:C12"/>
    <mergeCell ref="B14:C14"/>
    <mergeCell ref="B17:C17"/>
    <mergeCell ref="B15:C15"/>
    <mergeCell ref="B16:C16"/>
    <mergeCell ref="B13:C13"/>
    <mergeCell ref="B24:C24"/>
    <mergeCell ref="B25:C25"/>
    <mergeCell ref="B26:C26"/>
    <mergeCell ref="B19:C19"/>
    <mergeCell ref="B20:C20"/>
    <mergeCell ref="B21:C21"/>
    <mergeCell ref="B22:C22"/>
    <mergeCell ref="B23:C23"/>
    <mergeCell ref="C6:D6"/>
    <mergeCell ref="B3:D3"/>
    <mergeCell ref="B4:D4"/>
    <mergeCell ref="B8:C8"/>
    <mergeCell ref="B9:C9"/>
  </mergeCells>
  <conditionalFormatting sqref="G11">
    <cfRule type="cellIs" dxfId="9" priority="1" operator="equal">
      <formula>"Felicitaciones, Sigue manteniendo tu buen rendimiento Académico"</formula>
    </cfRule>
    <cfRule type="cellIs" dxfId="8" priority="2" operator="equal">
      <formula>"Entregar Actividades Pendientes"</formula>
    </cfRule>
  </conditionalFormatting>
  <pageMargins left="0.7" right="0.7" top="0.75" bottom="0.75" header="0.3" footer="0.3"/>
  <pageSetup paperSize="9" orientation="portrait" horizontalDpi="300" verticalDpi="30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D6"/>
  <sheetViews>
    <sheetView workbookViewId="0">
      <selection activeCell="C4" sqref="C4"/>
    </sheetView>
  </sheetViews>
  <sheetFormatPr baseColWidth="10" defaultColWidth="11.42578125" defaultRowHeight="15" x14ac:dyDescent="0.25"/>
  <cols>
    <col min="2" max="2" width="25.28515625" bestFit="1" customWidth="1"/>
  </cols>
  <sheetData>
    <row r="1" spans="2:4" x14ac:dyDescent="0.25">
      <c r="B1" s="150" t="s">
        <v>156</v>
      </c>
      <c r="C1" s="150" t="s">
        <v>120</v>
      </c>
      <c r="D1" s="150" t="s">
        <v>23</v>
      </c>
    </row>
    <row r="2" spans="2:4" x14ac:dyDescent="0.25">
      <c r="B2" s="135" t="s">
        <v>157</v>
      </c>
      <c r="C2" s="135">
        <f>COUNTIF('informe Final 2 periodo'!$AF$4:$AF$29,"4")</f>
        <v>5</v>
      </c>
      <c r="D2" s="159">
        <f>C2/$C$6</f>
        <v>0.35714285714285715</v>
      </c>
    </row>
    <row r="3" spans="2:4" x14ac:dyDescent="0.25">
      <c r="B3" s="135" t="s">
        <v>158</v>
      </c>
      <c r="C3" s="135">
        <f>COUNTIF('informe Final 2 periodo'!$AF$4:$AF$29,"3")</f>
        <v>2</v>
      </c>
      <c r="D3" s="159">
        <f t="shared" ref="D3:D5" si="0">C3/$C$6</f>
        <v>0.14285714285714285</v>
      </c>
    </row>
    <row r="4" spans="2:4" x14ac:dyDescent="0.25">
      <c r="B4" s="135" t="s">
        <v>159</v>
      </c>
      <c r="C4" s="135">
        <f>COUNTIF('informe Final 2 periodo'!$AF$4:$AF$29,"2")</f>
        <v>5</v>
      </c>
      <c r="D4" s="159">
        <f t="shared" si="0"/>
        <v>0.35714285714285715</v>
      </c>
    </row>
    <row r="5" spans="2:4" x14ac:dyDescent="0.25">
      <c r="B5" s="135" t="s">
        <v>160</v>
      </c>
      <c r="C5" s="135">
        <f>COUNTIF('informe Final 2 periodo'!$AF$4:$AF$29,"1")</f>
        <v>2</v>
      </c>
      <c r="D5" s="159">
        <f t="shared" si="0"/>
        <v>0.14285714285714285</v>
      </c>
    </row>
    <row r="6" spans="2:4" x14ac:dyDescent="0.25">
      <c r="C6">
        <f>SUM(C2:C5)</f>
        <v>14</v>
      </c>
    </row>
  </sheetData>
  <pageMargins left="0.7" right="0.7" top="0.75" bottom="0.75" header="0.3" footer="0.3"/>
  <pageSetup orientation="portrait" horizontalDpi="90" verticalDpi="9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EE2E7-33D9-4F1C-B981-BDD851AED67C}">
  <dimension ref="A1"/>
  <sheetViews>
    <sheetView workbookViewId="0">
      <selection activeCell="B6" sqref="B6"/>
    </sheetView>
  </sheetViews>
  <sheetFormatPr baseColWidth="10" defaultColWidth="11.42578125" defaultRowHeight="15" x14ac:dyDescent="0.2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42"/>
  <sheetViews>
    <sheetView topLeftCell="A2" zoomScale="83" zoomScaleNormal="83" workbookViewId="0">
      <pane xSplit="3" ySplit="3" topLeftCell="D5" activePane="bottomRight" state="frozenSplit"/>
      <selection pane="topRight" activeCell="C46" sqref="C46"/>
      <selection pane="bottomLeft" activeCell="C46" sqref="C46"/>
      <selection pane="bottomRight" activeCell="P5" sqref="P5:R16"/>
    </sheetView>
  </sheetViews>
  <sheetFormatPr baseColWidth="10" defaultColWidth="11.42578125" defaultRowHeight="15" x14ac:dyDescent="0.25"/>
  <cols>
    <col min="1" max="1" width="4.42578125" customWidth="1"/>
    <col min="2" max="2" width="10" customWidth="1"/>
    <col min="3" max="3" width="36.42578125" customWidth="1"/>
    <col min="4" max="4" width="8.140625" customWidth="1"/>
    <col min="5" max="5" width="11" bestFit="1" customWidth="1"/>
    <col min="6" max="7" width="8.85546875" bestFit="1" customWidth="1"/>
    <col min="8" max="8" width="9.28515625" bestFit="1" customWidth="1"/>
    <col min="9" max="9" width="8.28515625" bestFit="1" customWidth="1"/>
    <col min="10" max="10" width="8.28515625" customWidth="1"/>
    <col min="11" max="11" width="6.28515625" customWidth="1"/>
    <col min="12" max="12" width="6.7109375" bestFit="1" customWidth="1"/>
    <col min="13" max="13" width="3.42578125" bestFit="1" customWidth="1"/>
    <col min="17" max="17" width="18.5703125" bestFit="1" customWidth="1"/>
  </cols>
  <sheetData>
    <row r="1" spans="1:18" x14ac:dyDescent="0.25">
      <c r="A1" s="175" t="s">
        <v>27</v>
      </c>
      <c r="B1" s="176"/>
      <c r="C1" s="6" t="s">
        <v>161</v>
      </c>
      <c r="D1" s="6"/>
      <c r="E1" s="177"/>
      <c r="F1" s="177"/>
      <c r="G1" s="177"/>
      <c r="H1" s="177"/>
      <c r="I1" s="177"/>
      <c r="J1" s="177"/>
      <c r="K1" s="177"/>
      <c r="L1" s="177"/>
      <c r="M1" s="179" t="s">
        <v>29</v>
      </c>
    </row>
    <row r="2" spans="1:18" ht="15.75" thickBot="1" x14ac:dyDescent="0.3">
      <c r="A2" s="218" t="s">
        <v>162</v>
      </c>
      <c r="B2" s="219"/>
      <c r="C2" s="160" t="s">
        <v>163</v>
      </c>
      <c r="D2" s="160"/>
      <c r="E2" s="215"/>
      <c r="F2" s="215"/>
      <c r="G2" s="215"/>
      <c r="H2" s="215"/>
      <c r="I2" s="215"/>
      <c r="J2" s="215"/>
      <c r="K2" s="215"/>
      <c r="L2" s="215"/>
      <c r="M2" s="216"/>
    </row>
    <row r="3" spans="1:18" ht="94.5" customHeight="1" x14ac:dyDescent="0.25">
      <c r="A3" s="220" t="s">
        <v>30</v>
      </c>
      <c r="B3" s="222" t="s">
        <v>31</v>
      </c>
      <c r="C3" s="161" t="s">
        <v>32</v>
      </c>
      <c r="D3" s="40" t="s">
        <v>33</v>
      </c>
      <c r="E3" s="40" t="s">
        <v>36</v>
      </c>
      <c r="F3" s="40" t="s">
        <v>39</v>
      </c>
      <c r="G3" s="40" t="s">
        <v>164</v>
      </c>
      <c r="H3" s="40" t="s">
        <v>40</v>
      </c>
      <c r="I3" s="40" t="s">
        <v>165</v>
      </c>
      <c r="J3" s="40" t="s">
        <v>41</v>
      </c>
      <c r="K3" s="40" t="s">
        <v>45</v>
      </c>
      <c r="L3" s="40" t="s">
        <v>48</v>
      </c>
      <c r="M3" s="216"/>
    </row>
    <row r="4" spans="1:18" ht="15.75" thickBot="1" x14ac:dyDescent="0.3">
      <c r="A4" s="221"/>
      <c r="B4" s="223"/>
      <c r="C4" s="162"/>
      <c r="D4" s="2">
        <v>1</v>
      </c>
      <c r="E4" s="2">
        <v>1</v>
      </c>
      <c r="F4" s="2">
        <v>1</v>
      </c>
      <c r="G4" s="2">
        <v>1</v>
      </c>
      <c r="H4" s="2">
        <v>1</v>
      </c>
      <c r="I4" s="2">
        <v>1</v>
      </c>
      <c r="J4" s="2"/>
      <c r="K4" s="2"/>
      <c r="L4" s="2">
        <v>1</v>
      </c>
      <c r="M4" s="217"/>
    </row>
    <row r="5" spans="1:18" ht="24" customHeight="1" thickBot="1" x14ac:dyDescent="0.3">
      <c r="A5" s="163">
        <v>1</v>
      </c>
      <c r="B5" s="164" t="s">
        <v>166</v>
      </c>
      <c r="C5" s="36" t="s">
        <v>167</v>
      </c>
      <c r="D5" s="165"/>
      <c r="E5" s="166" t="s">
        <v>58</v>
      </c>
      <c r="F5" s="166" t="s">
        <v>58</v>
      </c>
      <c r="G5" s="166" t="s">
        <v>58</v>
      </c>
      <c r="H5" s="166" t="s">
        <v>58</v>
      </c>
      <c r="I5" s="166"/>
      <c r="J5" s="166" t="s">
        <v>58</v>
      </c>
      <c r="K5" s="166" t="s">
        <v>58</v>
      </c>
      <c r="L5" s="166" t="s">
        <v>58</v>
      </c>
      <c r="M5" s="1">
        <f>COUNTIF(D5:L5,"x")</f>
        <v>7</v>
      </c>
      <c r="P5" t="s">
        <v>63</v>
      </c>
      <c r="Q5" t="s">
        <v>64</v>
      </c>
      <c r="R5" t="s">
        <v>23</v>
      </c>
    </row>
    <row r="6" spans="1:18" ht="24" customHeight="1" thickBot="1" x14ac:dyDescent="0.3">
      <c r="A6" s="163">
        <v>2</v>
      </c>
      <c r="B6" s="164" t="s">
        <v>168</v>
      </c>
      <c r="C6" s="37" t="s">
        <v>169</v>
      </c>
      <c r="D6" s="167" t="s">
        <v>58</v>
      </c>
      <c r="E6" s="168"/>
      <c r="F6" s="168" t="s">
        <v>58</v>
      </c>
      <c r="G6" s="168" t="s">
        <v>58</v>
      </c>
      <c r="H6" s="168" t="s">
        <v>58</v>
      </c>
      <c r="I6" s="168"/>
      <c r="J6" s="168" t="s">
        <v>58</v>
      </c>
      <c r="K6" s="168"/>
      <c r="L6" s="168" t="s">
        <v>58</v>
      </c>
      <c r="M6" s="1">
        <f t="shared" ref="M6:M39" si="0">COUNTIF(D6:L6,"x")</f>
        <v>6</v>
      </c>
      <c r="P6" s="41" t="s">
        <v>2</v>
      </c>
      <c r="Q6">
        <f>COUNTIF($M$5:$M$39,"0")</f>
        <v>9</v>
      </c>
      <c r="R6" s="42">
        <f>Q6/$Q$16</f>
        <v>0.25714285714285712</v>
      </c>
    </row>
    <row r="7" spans="1:18" ht="24" customHeight="1" thickBot="1" x14ac:dyDescent="0.3">
      <c r="A7" s="163">
        <v>3</v>
      </c>
      <c r="B7" s="164" t="s">
        <v>170</v>
      </c>
      <c r="C7" s="37" t="s">
        <v>171</v>
      </c>
      <c r="D7" s="167"/>
      <c r="E7" s="168"/>
      <c r="F7" s="168"/>
      <c r="G7" s="168"/>
      <c r="H7" s="168"/>
      <c r="I7" s="168"/>
      <c r="J7" s="168"/>
      <c r="K7" s="168"/>
      <c r="L7" s="168"/>
      <c r="M7" s="1">
        <f t="shared" si="0"/>
        <v>0</v>
      </c>
      <c r="P7" s="41" t="s">
        <v>3</v>
      </c>
      <c r="Q7">
        <f>COUNTIF($M$5:$M$39,"1")</f>
        <v>4</v>
      </c>
      <c r="R7" s="42">
        <f t="shared" ref="R7:R15" si="1">Q7/$Q$16</f>
        <v>0.11428571428571428</v>
      </c>
    </row>
    <row r="8" spans="1:18" ht="24" customHeight="1" thickBot="1" x14ac:dyDescent="0.3">
      <c r="A8" s="163">
        <v>4</v>
      </c>
      <c r="B8" s="164" t="s">
        <v>172</v>
      </c>
      <c r="C8" s="37" t="s">
        <v>173</v>
      </c>
      <c r="D8" s="167" t="s">
        <v>58</v>
      </c>
      <c r="E8" s="168" t="s">
        <v>58</v>
      </c>
      <c r="F8" s="168" t="s">
        <v>58</v>
      </c>
      <c r="G8" s="168" t="s">
        <v>58</v>
      </c>
      <c r="H8" s="168" t="s">
        <v>58</v>
      </c>
      <c r="I8" s="168" t="s">
        <v>58</v>
      </c>
      <c r="J8" s="168" t="s">
        <v>58</v>
      </c>
      <c r="K8" s="168" t="s">
        <v>58</v>
      </c>
      <c r="L8" s="168" t="s">
        <v>58</v>
      </c>
      <c r="M8" s="1">
        <f t="shared" si="0"/>
        <v>9</v>
      </c>
      <c r="P8" s="41" t="s">
        <v>4</v>
      </c>
      <c r="Q8">
        <f>COUNTIF($M$5:$M$39,"2")</f>
        <v>5</v>
      </c>
      <c r="R8" s="42">
        <f t="shared" si="1"/>
        <v>0.14285714285714285</v>
      </c>
    </row>
    <row r="9" spans="1:18" ht="24" customHeight="1" thickBot="1" x14ac:dyDescent="0.3">
      <c r="A9" s="163">
        <v>5</v>
      </c>
      <c r="B9" s="164" t="s">
        <v>174</v>
      </c>
      <c r="C9" s="37" t="s">
        <v>175</v>
      </c>
      <c r="D9" s="167"/>
      <c r="E9" s="168" t="s">
        <v>58</v>
      </c>
      <c r="F9" s="168"/>
      <c r="G9" s="168"/>
      <c r="H9" s="168"/>
      <c r="I9" s="168"/>
      <c r="J9" s="168"/>
      <c r="K9" s="168"/>
      <c r="L9" s="168"/>
      <c r="M9" s="1">
        <f t="shared" si="0"/>
        <v>1</v>
      </c>
      <c r="P9" s="41" t="s">
        <v>5</v>
      </c>
      <c r="Q9">
        <f>COUNTIF($M$5:$M$39,"3")</f>
        <v>0</v>
      </c>
      <c r="R9" s="42">
        <f t="shared" si="1"/>
        <v>0</v>
      </c>
    </row>
    <row r="10" spans="1:18" ht="24" customHeight="1" thickBot="1" x14ac:dyDescent="0.3">
      <c r="A10" s="163">
        <v>6</v>
      </c>
      <c r="B10" s="164" t="s">
        <v>176</v>
      </c>
      <c r="C10" s="37" t="s">
        <v>177</v>
      </c>
      <c r="D10" s="167" t="s">
        <v>58</v>
      </c>
      <c r="E10" s="168" t="s">
        <v>58</v>
      </c>
      <c r="F10" s="168"/>
      <c r="G10" s="168" t="s">
        <v>58</v>
      </c>
      <c r="H10" s="168" t="s">
        <v>58</v>
      </c>
      <c r="I10" s="168"/>
      <c r="J10" s="168"/>
      <c r="K10" s="168" t="s">
        <v>58</v>
      </c>
      <c r="L10" s="168" t="s">
        <v>58</v>
      </c>
      <c r="M10" s="1">
        <f t="shared" si="0"/>
        <v>6</v>
      </c>
      <c r="P10" s="41" t="s">
        <v>6</v>
      </c>
      <c r="Q10">
        <f>COUNTIF($M$5:$M$39,"4")</f>
        <v>2</v>
      </c>
      <c r="R10" s="42">
        <f t="shared" si="1"/>
        <v>5.7142857142857141E-2</v>
      </c>
    </row>
    <row r="11" spans="1:18" ht="24" customHeight="1" thickBot="1" x14ac:dyDescent="0.3">
      <c r="A11" s="163">
        <v>7</v>
      </c>
      <c r="B11" s="164" t="s">
        <v>178</v>
      </c>
      <c r="C11" s="37" t="s">
        <v>179</v>
      </c>
      <c r="D11" s="167"/>
      <c r="E11" s="168"/>
      <c r="F11" s="168"/>
      <c r="G11" s="168"/>
      <c r="H11" s="168"/>
      <c r="I11" s="168"/>
      <c r="J11" s="168"/>
      <c r="K11" s="168"/>
      <c r="L11" s="168"/>
      <c r="M11" s="1">
        <f t="shared" si="0"/>
        <v>0</v>
      </c>
      <c r="P11" s="41" t="s">
        <v>7</v>
      </c>
      <c r="Q11">
        <f>COUNTIF($M$5:$M$39,"5")</f>
        <v>3</v>
      </c>
      <c r="R11" s="42">
        <f t="shared" si="1"/>
        <v>8.5714285714285715E-2</v>
      </c>
    </row>
    <row r="12" spans="1:18" ht="24" customHeight="1" thickBot="1" x14ac:dyDescent="0.3">
      <c r="A12" s="163">
        <v>9</v>
      </c>
      <c r="B12" s="164" t="s">
        <v>180</v>
      </c>
      <c r="C12" s="37" t="s">
        <v>181</v>
      </c>
      <c r="D12" s="167" t="s">
        <v>58</v>
      </c>
      <c r="E12" s="168" t="s">
        <v>58</v>
      </c>
      <c r="F12" s="168"/>
      <c r="G12" s="168"/>
      <c r="H12" s="168" t="s">
        <v>58</v>
      </c>
      <c r="I12" s="168"/>
      <c r="J12" s="168"/>
      <c r="K12" s="168" t="s">
        <v>58</v>
      </c>
      <c r="L12" s="168" t="s">
        <v>58</v>
      </c>
      <c r="M12" s="1">
        <f t="shared" si="0"/>
        <v>5</v>
      </c>
      <c r="P12" s="41" t="s">
        <v>8</v>
      </c>
      <c r="Q12">
        <f>COUNTIF($M$5:$M$39,"6")</f>
        <v>4</v>
      </c>
      <c r="R12" s="42">
        <f t="shared" si="1"/>
        <v>0.11428571428571428</v>
      </c>
    </row>
    <row r="13" spans="1:18" ht="24" customHeight="1" thickBot="1" x14ac:dyDescent="0.3">
      <c r="A13" s="163">
        <v>10</v>
      </c>
      <c r="B13" s="164" t="s">
        <v>182</v>
      </c>
      <c r="C13" s="37" t="s">
        <v>183</v>
      </c>
      <c r="D13" s="167" t="s">
        <v>58</v>
      </c>
      <c r="E13" s="168" t="s">
        <v>58</v>
      </c>
      <c r="F13" s="168" t="s">
        <v>58</v>
      </c>
      <c r="G13" s="168"/>
      <c r="H13" s="168"/>
      <c r="I13" s="168"/>
      <c r="J13" s="168" t="s">
        <v>58</v>
      </c>
      <c r="K13" s="168" t="s">
        <v>58</v>
      </c>
      <c r="L13" s="168" t="s">
        <v>58</v>
      </c>
      <c r="M13" s="1">
        <f t="shared" si="0"/>
        <v>6</v>
      </c>
      <c r="P13" s="41" t="s">
        <v>9</v>
      </c>
      <c r="Q13">
        <f>COUNTIF($M$5:$M$39,"7")</f>
        <v>3</v>
      </c>
      <c r="R13" s="42">
        <f t="shared" si="1"/>
        <v>8.5714285714285715E-2</v>
      </c>
    </row>
    <row r="14" spans="1:18" ht="24" customHeight="1" thickBot="1" x14ac:dyDescent="0.3">
      <c r="A14" s="163">
        <v>11</v>
      </c>
      <c r="B14" s="164" t="s">
        <v>184</v>
      </c>
      <c r="C14" s="37" t="s">
        <v>185</v>
      </c>
      <c r="D14" s="167" t="s">
        <v>58</v>
      </c>
      <c r="E14" s="168" t="s">
        <v>58</v>
      </c>
      <c r="F14" s="168" t="s">
        <v>58</v>
      </c>
      <c r="G14" s="168" t="s">
        <v>58</v>
      </c>
      <c r="H14" s="168" t="s">
        <v>58</v>
      </c>
      <c r="I14" s="168" t="s">
        <v>58</v>
      </c>
      <c r="J14" s="168" t="s">
        <v>58</v>
      </c>
      <c r="K14" s="168" t="s">
        <v>58</v>
      </c>
      <c r="L14" s="168" t="s">
        <v>58</v>
      </c>
      <c r="M14" s="1">
        <f t="shared" si="0"/>
        <v>9</v>
      </c>
      <c r="P14" s="41" t="s">
        <v>10</v>
      </c>
      <c r="Q14">
        <f>COUNTIF($M$5:$M$39,"8")</f>
        <v>2</v>
      </c>
      <c r="R14" s="42">
        <f t="shared" si="1"/>
        <v>5.7142857142857141E-2</v>
      </c>
    </row>
    <row r="15" spans="1:18" ht="24" customHeight="1" thickBot="1" x14ac:dyDescent="0.3">
      <c r="A15" s="163">
        <v>12</v>
      </c>
      <c r="B15" s="164" t="s">
        <v>186</v>
      </c>
      <c r="C15" s="37" t="s">
        <v>187</v>
      </c>
      <c r="D15" s="167" t="s">
        <v>58</v>
      </c>
      <c r="E15" s="168"/>
      <c r="F15" s="168" t="s">
        <v>58</v>
      </c>
      <c r="G15" s="168"/>
      <c r="H15" s="168"/>
      <c r="I15" s="168"/>
      <c r="J15" s="168" t="s">
        <v>58</v>
      </c>
      <c r="K15" s="168" t="s">
        <v>58</v>
      </c>
      <c r="L15" s="168" t="s">
        <v>58</v>
      </c>
      <c r="M15" s="1">
        <f t="shared" si="0"/>
        <v>5</v>
      </c>
      <c r="P15" s="41" t="s">
        <v>11</v>
      </c>
      <c r="Q15">
        <f>COUNTIF($M$5:$M$39,"9")</f>
        <v>3</v>
      </c>
      <c r="R15" s="42">
        <f t="shared" si="1"/>
        <v>8.5714285714285715E-2</v>
      </c>
    </row>
    <row r="16" spans="1:18" ht="24" customHeight="1" thickBot="1" x14ac:dyDescent="0.3">
      <c r="A16" s="163">
        <v>13</v>
      </c>
      <c r="B16" s="164" t="s">
        <v>188</v>
      </c>
      <c r="C16" s="37" t="s">
        <v>189</v>
      </c>
      <c r="D16" s="167" t="s">
        <v>58</v>
      </c>
      <c r="E16" s="168" t="s">
        <v>58</v>
      </c>
      <c r="F16" s="168"/>
      <c r="G16" s="168" t="s">
        <v>58</v>
      </c>
      <c r="H16" s="168"/>
      <c r="I16" s="168"/>
      <c r="J16" s="168"/>
      <c r="K16" s="168" t="s">
        <v>58</v>
      </c>
      <c r="L16" s="168" t="s">
        <v>58</v>
      </c>
      <c r="M16" s="1">
        <f t="shared" si="0"/>
        <v>5</v>
      </c>
      <c r="Q16">
        <f>SUM(Q6:Q15)</f>
        <v>35</v>
      </c>
    </row>
    <row r="17" spans="1:17" ht="24" customHeight="1" thickBot="1" x14ac:dyDescent="0.3">
      <c r="A17" s="163">
        <v>14</v>
      </c>
      <c r="B17" s="164" t="s">
        <v>190</v>
      </c>
      <c r="C17" s="37" t="s">
        <v>191</v>
      </c>
      <c r="D17" s="167" t="s">
        <v>58</v>
      </c>
      <c r="E17" s="168" t="s">
        <v>58</v>
      </c>
      <c r="F17" s="168" t="s">
        <v>58</v>
      </c>
      <c r="G17" s="168"/>
      <c r="H17" s="168"/>
      <c r="I17" s="168"/>
      <c r="J17" s="168"/>
      <c r="K17" s="168" t="s">
        <v>58</v>
      </c>
      <c r="L17" s="168"/>
      <c r="M17" s="1">
        <f t="shared" si="0"/>
        <v>4</v>
      </c>
    </row>
    <row r="18" spans="1:17" ht="24" customHeight="1" thickBot="1" x14ac:dyDescent="0.3">
      <c r="A18" s="163">
        <v>15</v>
      </c>
      <c r="B18" s="164" t="s">
        <v>192</v>
      </c>
      <c r="C18" s="37" t="s">
        <v>193</v>
      </c>
      <c r="D18" s="167"/>
      <c r="E18" s="168"/>
      <c r="F18" s="168"/>
      <c r="G18" s="168"/>
      <c r="H18" s="168"/>
      <c r="I18" s="168"/>
      <c r="J18" s="168"/>
      <c r="K18" s="168"/>
      <c r="L18" s="168"/>
      <c r="M18" s="1">
        <f t="shared" si="0"/>
        <v>0</v>
      </c>
    </row>
    <row r="19" spans="1:17" ht="24" customHeight="1" thickBot="1" x14ac:dyDescent="0.3">
      <c r="A19" s="163">
        <v>16</v>
      </c>
      <c r="B19" s="164" t="s">
        <v>194</v>
      </c>
      <c r="C19" s="37" t="s">
        <v>195</v>
      </c>
      <c r="D19" s="167"/>
      <c r="E19" s="168"/>
      <c r="F19" s="168"/>
      <c r="G19" s="168"/>
      <c r="H19" s="168"/>
      <c r="I19" s="168"/>
      <c r="J19" s="168" t="s">
        <v>58</v>
      </c>
      <c r="K19" s="168" t="s">
        <v>58</v>
      </c>
      <c r="L19" s="168"/>
      <c r="M19" s="1">
        <f t="shared" si="0"/>
        <v>2</v>
      </c>
    </row>
    <row r="20" spans="1:17" ht="24" customHeight="1" thickBot="1" x14ac:dyDescent="0.3">
      <c r="A20" s="163">
        <v>17</v>
      </c>
      <c r="B20" s="164" t="s">
        <v>196</v>
      </c>
      <c r="C20" s="37" t="s">
        <v>197</v>
      </c>
      <c r="D20" s="167"/>
      <c r="E20" s="168"/>
      <c r="F20" s="168"/>
      <c r="G20" s="168"/>
      <c r="H20" s="168"/>
      <c r="I20" s="168"/>
      <c r="J20" s="168"/>
      <c r="K20" s="168"/>
      <c r="L20" s="168" t="s">
        <v>58</v>
      </c>
      <c r="M20" s="1">
        <f t="shared" si="0"/>
        <v>1</v>
      </c>
    </row>
    <row r="21" spans="1:17" ht="24" customHeight="1" thickBot="1" x14ac:dyDescent="0.3">
      <c r="A21" s="163">
        <v>18</v>
      </c>
      <c r="B21" s="164" t="s">
        <v>198</v>
      </c>
      <c r="C21" s="37" t="s">
        <v>199</v>
      </c>
      <c r="D21" s="167" t="s">
        <v>58</v>
      </c>
      <c r="E21" s="168" t="s">
        <v>58</v>
      </c>
      <c r="F21" s="168" t="s">
        <v>58</v>
      </c>
      <c r="G21" s="168" t="s">
        <v>58</v>
      </c>
      <c r="H21" s="168" t="s">
        <v>58</v>
      </c>
      <c r="I21" s="168"/>
      <c r="J21" s="168" t="s">
        <v>58</v>
      </c>
      <c r="K21" s="168" t="s">
        <v>58</v>
      </c>
      <c r="L21" s="168" t="s">
        <v>58</v>
      </c>
      <c r="M21" s="1">
        <f t="shared" si="0"/>
        <v>8</v>
      </c>
      <c r="Q21">
        <f>SUM(Q6:Q8)</f>
        <v>18</v>
      </c>
    </row>
    <row r="22" spans="1:17" ht="24" customHeight="1" thickBot="1" x14ac:dyDescent="0.3">
      <c r="A22" s="163">
        <v>19</v>
      </c>
      <c r="B22" s="164" t="s">
        <v>200</v>
      </c>
      <c r="C22" s="37" t="s">
        <v>201</v>
      </c>
      <c r="D22" s="167"/>
      <c r="E22" s="168"/>
      <c r="F22" s="168"/>
      <c r="G22" s="168"/>
      <c r="H22" s="168"/>
      <c r="I22" s="168"/>
      <c r="J22" s="168"/>
      <c r="K22" s="168"/>
      <c r="L22" s="168"/>
      <c r="M22" s="1">
        <f t="shared" si="0"/>
        <v>0</v>
      </c>
    </row>
    <row r="23" spans="1:17" ht="24" customHeight="1" thickBot="1" x14ac:dyDescent="0.3">
      <c r="A23" s="163">
        <v>21</v>
      </c>
      <c r="B23" s="164" t="s">
        <v>202</v>
      </c>
      <c r="C23" s="37" t="s">
        <v>203</v>
      </c>
      <c r="D23" s="167"/>
      <c r="E23" s="168"/>
      <c r="F23" s="168"/>
      <c r="G23" s="168"/>
      <c r="H23" s="168"/>
      <c r="I23" s="168"/>
      <c r="J23" s="168"/>
      <c r="K23" s="168" t="s">
        <v>58</v>
      </c>
      <c r="L23" s="168"/>
      <c r="M23" s="1">
        <f t="shared" si="0"/>
        <v>1</v>
      </c>
    </row>
    <row r="24" spans="1:17" ht="24" customHeight="1" thickBot="1" x14ac:dyDescent="0.3">
      <c r="A24" s="163">
        <v>22</v>
      </c>
      <c r="B24" s="164" t="s">
        <v>204</v>
      </c>
      <c r="C24" s="37" t="s">
        <v>205</v>
      </c>
      <c r="D24" s="167"/>
      <c r="E24" s="168"/>
      <c r="F24" s="168"/>
      <c r="G24" s="168"/>
      <c r="H24" s="168"/>
      <c r="I24" s="168"/>
      <c r="J24" s="168"/>
      <c r="K24" s="168"/>
      <c r="L24" s="168"/>
      <c r="M24" s="1">
        <f t="shared" si="0"/>
        <v>0</v>
      </c>
    </row>
    <row r="25" spans="1:17" ht="24" customHeight="1" thickBot="1" x14ac:dyDescent="0.3">
      <c r="A25" s="163">
        <v>23</v>
      </c>
      <c r="B25" s="164" t="s">
        <v>206</v>
      </c>
      <c r="C25" s="37" t="s">
        <v>207</v>
      </c>
      <c r="D25" s="167"/>
      <c r="E25" s="168" t="s">
        <v>58</v>
      </c>
      <c r="F25" s="168"/>
      <c r="G25" s="168"/>
      <c r="H25" s="168"/>
      <c r="I25" s="168"/>
      <c r="J25" s="168"/>
      <c r="K25" s="168" t="s">
        <v>58</v>
      </c>
      <c r="L25" s="168"/>
      <c r="M25" s="1">
        <f t="shared" si="0"/>
        <v>2</v>
      </c>
    </row>
    <row r="26" spans="1:17" ht="24" customHeight="1" thickBot="1" x14ac:dyDescent="0.3">
      <c r="A26" s="163">
        <v>24</v>
      </c>
      <c r="B26" s="164" t="s">
        <v>208</v>
      </c>
      <c r="C26" s="37" t="s">
        <v>209</v>
      </c>
      <c r="D26" s="167" t="s">
        <v>58</v>
      </c>
      <c r="E26" s="168" t="s">
        <v>58</v>
      </c>
      <c r="F26" s="168" t="s">
        <v>58</v>
      </c>
      <c r="G26" s="168" t="s">
        <v>58</v>
      </c>
      <c r="H26" s="168" t="s">
        <v>58</v>
      </c>
      <c r="I26" s="168" t="s">
        <v>58</v>
      </c>
      <c r="J26" s="168" t="s">
        <v>58</v>
      </c>
      <c r="K26" s="168" t="s">
        <v>58</v>
      </c>
      <c r="L26" s="168"/>
      <c r="M26" s="1">
        <f t="shared" si="0"/>
        <v>8</v>
      </c>
    </row>
    <row r="27" spans="1:17" ht="24" customHeight="1" thickBot="1" x14ac:dyDescent="0.3">
      <c r="A27" s="163">
        <v>25</v>
      </c>
      <c r="B27" s="164" t="s">
        <v>210</v>
      </c>
      <c r="C27" s="37" t="s">
        <v>211</v>
      </c>
      <c r="D27" s="167"/>
      <c r="E27" s="168" t="s">
        <v>58</v>
      </c>
      <c r="F27" s="168" t="s">
        <v>58</v>
      </c>
      <c r="G27" s="168" t="s">
        <v>58</v>
      </c>
      <c r="H27" s="168" t="s">
        <v>58</v>
      </c>
      <c r="I27" s="168" t="s">
        <v>58</v>
      </c>
      <c r="J27" s="168" t="s">
        <v>58</v>
      </c>
      <c r="K27" s="168"/>
      <c r="L27" s="168"/>
      <c r="M27" s="1">
        <f t="shared" si="0"/>
        <v>6</v>
      </c>
    </row>
    <row r="28" spans="1:17" ht="24" customHeight="1" thickBot="1" x14ac:dyDescent="0.3">
      <c r="A28" s="163">
        <v>26</v>
      </c>
      <c r="B28" s="164" t="s">
        <v>212</v>
      </c>
      <c r="C28" s="37" t="s">
        <v>213</v>
      </c>
      <c r="D28" s="167"/>
      <c r="E28" s="168"/>
      <c r="F28" s="168"/>
      <c r="G28" s="168"/>
      <c r="H28" s="168"/>
      <c r="I28" s="168"/>
      <c r="J28" s="168" t="s">
        <v>58</v>
      </c>
      <c r="K28" s="168"/>
      <c r="L28" s="168" t="s">
        <v>58</v>
      </c>
      <c r="M28" s="1">
        <f t="shared" si="0"/>
        <v>2</v>
      </c>
    </row>
    <row r="29" spans="1:17" ht="24" customHeight="1" thickBot="1" x14ac:dyDescent="0.3">
      <c r="A29" s="163">
        <v>27</v>
      </c>
      <c r="B29" s="164" t="s">
        <v>214</v>
      </c>
      <c r="C29" s="37" t="s">
        <v>215</v>
      </c>
      <c r="D29" s="167"/>
      <c r="E29" s="168"/>
      <c r="F29" s="168"/>
      <c r="G29" s="168"/>
      <c r="H29" s="168"/>
      <c r="I29" s="168"/>
      <c r="J29" s="168"/>
      <c r="K29" s="168"/>
      <c r="L29" s="168"/>
      <c r="M29" s="1">
        <f t="shared" si="0"/>
        <v>0</v>
      </c>
    </row>
    <row r="30" spans="1:17" ht="24" customHeight="1" thickBot="1" x14ac:dyDescent="0.3">
      <c r="A30" s="163">
        <v>28</v>
      </c>
      <c r="B30" s="164" t="s">
        <v>216</v>
      </c>
      <c r="C30" s="37" t="s">
        <v>217</v>
      </c>
      <c r="D30" s="167" t="s">
        <v>58</v>
      </c>
      <c r="E30" s="168" t="s">
        <v>58</v>
      </c>
      <c r="F30" s="168" t="s">
        <v>58</v>
      </c>
      <c r="G30" s="168" t="s">
        <v>58</v>
      </c>
      <c r="H30" s="168"/>
      <c r="I30" s="168" t="s">
        <v>58</v>
      </c>
      <c r="J30" s="168"/>
      <c r="K30" s="168" t="s">
        <v>58</v>
      </c>
      <c r="L30" s="168" t="s">
        <v>58</v>
      </c>
      <c r="M30" s="1">
        <f t="shared" si="0"/>
        <v>7</v>
      </c>
    </row>
    <row r="31" spans="1:17" ht="24" customHeight="1" thickBot="1" x14ac:dyDescent="0.3">
      <c r="A31" s="163">
        <v>29</v>
      </c>
      <c r="B31" s="164" t="s">
        <v>218</v>
      </c>
      <c r="C31" s="37" t="s">
        <v>219</v>
      </c>
      <c r="D31" s="167" t="s">
        <v>58</v>
      </c>
      <c r="E31" s="168" t="s">
        <v>58</v>
      </c>
      <c r="F31" s="168"/>
      <c r="G31" s="168"/>
      <c r="H31" s="168" t="s">
        <v>58</v>
      </c>
      <c r="I31" s="168" t="s">
        <v>58</v>
      </c>
      <c r="J31" s="168" t="s">
        <v>58</v>
      </c>
      <c r="K31" s="168" t="s">
        <v>58</v>
      </c>
      <c r="L31" s="168" t="s">
        <v>58</v>
      </c>
      <c r="M31" s="1">
        <f t="shared" si="0"/>
        <v>7</v>
      </c>
    </row>
    <row r="32" spans="1:17" ht="24" customHeight="1" thickBot="1" x14ac:dyDescent="0.3">
      <c r="A32" s="163">
        <v>32</v>
      </c>
      <c r="B32" s="164" t="s">
        <v>220</v>
      </c>
      <c r="C32" s="37" t="s">
        <v>221</v>
      </c>
      <c r="D32" s="167"/>
      <c r="E32" s="168"/>
      <c r="F32" s="168"/>
      <c r="G32" s="168"/>
      <c r="H32" s="168"/>
      <c r="I32" s="168" t="s">
        <v>58</v>
      </c>
      <c r="J32" s="168" t="s">
        <v>58</v>
      </c>
      <c r="K32" s="168"/>
      <c r="L32" s="168"/>
      <c r="M32" s="1">
        <f t="shared" si="0"/>
        <v>2</v>
      </c>
    </row>
    <row r="33" spans="1:13" ht="24" customHeight="1" thickBot="1" x14ac:dyDescent="0.3">
      <c r="A33" s="163">
        <v>33</v>
      </c>
      <c r="B33" s="164" t="s">
        <v>222</v>
      </c>
      <c r="C33" s="37" t="s">
        <v>223</v>
      </c>
      <c r="D33" s="167"/>
      <c r="E33" s="168"/>
      <c r="F33" s="168"/>
      <c r="G33" s="168"/>
      <c r="H33" s="168"/>
      <c r="I33" s="168"/>
      <c r="J33" s="168"/>
      <c r="K33" s="168"/>
      <c r="L33" s="168"/>
      <c r="M33" s="1">
        <f t="shared" si="0"/>
        <v>0</v>
      </c>
    </row>
    <row r="34" spans="1:13" ht="24" customHeight="1" thickBot="1" x14ac:dyDescent="0.3">
      <c r="A34" s="163">
        <v>34</v>
      </c>
      <c r="B34" s="164" t="s">
        <v>224</v>
      </c>
      <c r="C34" s="37" t="s">
        <v>225</v>
      </c>
      <c r="D34" s="167"/>
      <c r="E34" s="168"/>
      <c r="F34" s="168"/>
      <c r="G34" s="168" t="s">
        <v>58</v>
      </c>
      <c r="H34" s="168" t="s">
        <v>58</v>
      </c>
      <c r="I34" s="168"/>
      <c r="J34" s="168"/>
      <c r="K34" s="168" t="s">
        <v>58</v>
      </c>
      <c r="L34" s="168" t="s">
        <v>58</v>
      </c>
      <c r="M34" s="1">
        <f t="shared" si="0"/>
        <v>4</v>
      </c>
    </row>
    <row r="35" spans="1:13" ht="24" customHeight="1" thickBot="1" x14ac:dyDescent="0.3">
      <c r="A35" s="163">
        <v>35</v>
      </c>
      <c r="B35" s="164" t="s">
        <v>226</v>
      </c>
      <c r="C35" s="37" t="s">
        <v>227</v>
      </c>
      <c r="D35" s="167"/>
      <c r="E35" s="168"/>
      <c r="F35" s="168" t="s">
        <v>58</v>
      </c>
      <c r="G35" s="168"/>
      <c r="H35" s="168"/>
      <c r="I35" s="168" t="s">
        <v>58</v>
      </c>
      <c r="J35" s="168"/>
      <c r="K35" s="168"/>
      <c r="L35" s="168"/>
      <c r="M35" s="1">
        <f t="shared" si="0"/>
        <v>2</v>
      </c>
    </row>
    <row r="36" spans="1:13" ht="24" customHeight="1" thickBot="1" x14ac:dyDescent="0.3">
      <c r="A36" s="163">
        <v>36</v>
      </c>
      <c r="B36" s="164" t="s">
        <v>228</v>
      </c>
      <c r="C36" s="37" t="s">
        <v>229</v>
      </c>
      <c r="D36" s="167"/>
      <c r="E36" s="168"/>
      <c r="F36" s="168"/>
      <c r="G36" s="168"/>
      <c r="H36" s="168"/>
      <c r="I36" s="168" t="s">
        <v>58</v>
      </c>
      <c r="J36" s="168"/>
      <c r="K36" s="168"/>
      <c r="L36" s="168"/>
      <c r="M36" s="1">
        <f t="shared" si="0"/>
        <v>1</v>
      </c>
    </row>
    <row r="37" spans="1:13" ht="24" customHeight="1" thickBot="1" x14ac:dyDescent="0.3">
      <c r="A37" s="163">
        <v>37</v>
      </c>
      <c r="B37" s="164" t="s">
        <v>230</v>
      </c>
      <c r="C37" s="37" t="s">
        <v>231</v>
      </c>
      <c r="D37" s="167"/>
      <c r="E37" s="168"/>
      <c r="F37" s="168"/>
      <c r="G37" s="168"/>
      <c r="H37" s="168"/>
      <c r="I37" s="168"/>
      <c r="J37" s="168"/>
      <c r="K37" s="168"/>
      <c r="L37" s="168"/>
      <c r="M37" s="1">
        <f t="shared" si="0"/>
        <v>0</v>
      </c>
    </row>
    <row r="38" spans="1:13" ht="24" customHeight="1" thickBot="1" x14ac:dyDescent="0.3">
      <c r="A38" s="163">
        <v>38</v>
      </c>
      <c r="B38" s="164" t="s">
        <v>232</v>
      </c>
      <c r="C38" s="37" t="s">
        <v>233</v>
      </c>
      <c r="D38" s="167" t="s">
        <v>58</v>
      </c>
      <c r="E38" s="168" t="s">
        <v>58</v>
      </c>
      <c r="F38" s="168" t="s">
        <v>58</v>
      </c>
      <c r="G38" s="168" t="s">
        <v>58</v>
      </c>
      <c r="H38" s="168" t="s">
        <v>58</v>
      </c>
      <c r="I38" s="168" t="s">
        <v>58</v>
      </c>
      <c r="J38" s="168" t="s">
        <v>58</v>
      </c>
      <c r="K38" s="168" t="s">
        <v>58</v>
      </c>
      <c r="L38" s="168" t="s">
        <v>58</v>
      </c>
      <c r="M38" s="1">
        <f t="shared" si="0"/>
        <v>9</v>
      </c>
    </row>
    <row r="39" spans="1:13" ht="24" customHeight="1" thickBot="1" x14ac:dyDescent="0.3">
      <c r="A39" s="163">
        <v>39</v>
      </c>
      <c r="B39" s="164" t="s">
        <v>234</v>
      </c>
      <c r="C39" s="37" t="s">
        <v>235</v>
      </c>
      <c r="D39" s="169"/>
      <c r="E39" s="170"/>
      <c r="F39" s="170"/>
      <c r="G39" s="170"/>
      <c r="H39" s="170"/>
      <c r="I39" s="170"/>
      <c r="J39" s="170"/>
      <c r="K39" s="170"/>
      <c r="L39" s="170"/>
      <c r="M39" s="1">
        <f t="shared" si="0"/>
        <v>0</v>
      </c>
    </row>
    <row r="40" spans="1:13" ht="15.75" thickBot="1" x14ac:dyDescent="0.3">
      <c r="A40" s="137"/>
      <c r="B40" s="135"/>
      <c r="C40" s="162"/>
      <c r="D40" s="38"/>
      <c r="E40" s="32"/>
      <c r="F40" s="32"/>
      <c r="G40" s="32"/>
      <c r="H40" s="32"/>
      <c r="I40" s="32"/>
      <c r="J40" s="32"/>
      <c r="K40" s="32"/>
      <c r="L40" s="32"/>
      <c r="M40" s="33"/>
    </row>
    <row r="41" spans="1:13" ht="15.75" thickBot="1" x14ac:dyDescent="0.3">
      <c r="A41" s="35"/>
      <c r="B41" s="10"/>
      <c r="C41" s="135"/>
      <c r="E41" s="4">
        <f t="shared" ref="E41:L41" si="2">COUNTIF(E5:E39,"X")</f>
        <v>16</v>
      </c>
      <c r="F41" s="4">
        <f t="shared" si="2"/>
        <v>13</v>
      </c>
      <c r="G41" s="4">
        <f t="shared" si="2"/>
        <v>12</v>
      </c>
      <c r="H41" s="4">
        <f t="shared" si="2"/>
        <v>12</v>
      </c>
      <c r="I41" s="4">
        <f t="shared" si="2"/>
        <v>10</v>
      </c>
      <c r="J41" s="4"/>
      <c r="K41" s="4"/>
      <c r="L41" s="4">
        <f t="shared" si="2"/>
        <v>16</v>
      </c>
      <c r="M41" s="5">
        <f>COUNTIF(M5:M39,"&gt;0")</f>
        <v>26</v>
      </c>
    </row>
    <row r="42" spans="1:13" ht="17.25" thickBot="1" x14ac:dyDescent="0.3">
      <c r="C42" s="10"/>
      <c r="D42" s="39"/>
      <c r="E42" s="3">
        <f t="shared" ref="E42:M42" si="3">E41/40</f>
        <v>0.4</v>
      </c>
      <c r="F42" s="3">
        <f t="shared" si="3"/>
        <v>0.32500000000000001</v>
      </c>
      <c r="G42" s="3">
        <f t="shared" si="3"/>
        <v>0.3</v>
      </c>
      <c r="H42" s="3">
        <f t="shared" si="3"/>
        <v>0.3</v>
      </c>
      <c r="I42" s="3">
        <f t="shared" si="3"/>
        <v>0.25</v>
      </c>
      <c r="J42" s="3"/>
      <c r="K42" s="3"/>
      <c r="L42" s="3">
        <f t="shared" si="3"/>
        <v>0.4</v>
      </c>
      <c r="M42" s="3">
        <f t="shared" si="3"/>
        <v>0.65</v>
      </c>
    </row>
  </sheetData>
  <mergeCells count="6">
    <mergeCell ref="A1:B1"/>
    <mergeCell ref="E1:L2"/>
    <mergeCell ref="M1:M4"/>
    <mergeCell ref="A2:B2"/>
    <mergeCell ref="A3:A4"/>
    <mergeCell ref="B3:B4"/>
  </mergeCells>
  <conditionalFormatting sqref="E5:L40">
    <cfRule type="cellIs" dxfId="7" priority="4" operator="equal">
      <formula>$G$6</formula>
    </cfRule>
  </conditionalFormatting>
  <printOptions horizontalCentered="1" gridLines="1"/>
  <pageMargins left="0.11811023622047245" right="0.59055118110236227" top="0.39370078740157483" bottom="0.39370078740157483" header="0.19685039370078741" footer="0.19685039370078741"/>
  <pageSetup paperSize="14" scale="95" orientation="landscape" r:id="rId1"/>
  <headerFooter>
    <oddFooter>&amp;CC:\Master2000\ - Página &amp;P de &amp;N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31"/>
  <sheetViews>
    <sheetView topLeftCell="A2" zoomScale="83" zoomScaleNormal="83" workbookViewId="0">
      <pane xSplit="3" ySplit="3" topLeftCell="L9" activePane="bottomRight" state="frozenSplit"/>
      <selection pane="topRight" activeCell="C46" sqref="C46"/>
      <selection pane="bottomLeft" activeCell="C46" sqref="C46"/>
      <selection pane="bottomRight" activeCell="Z8" sqref="Z8"/>
    </sheetView>
  </sheetViews>
  <sheetFormatPr baseColWidth="10" defaultColWidth="11.42578125" defaultRowHeight="15" x14ac:dyDescent="0.25"/>
  <cols>
    <col min="1" max="1" width="4.42578125" customWidth="1"/>
    <col min="2" max="2" width="10" customWidth="1"/>
    <col min="3" max="3" width="36.42578125" customWidth="1"/>
    <col min="4" max="4" width="8.140625" customWidth="1"/>
    <col min="5" max="5" width="11" bestFit="1" customWidth="1"/>
    <col min="6" max="7" width="8.85546875" bestFit="1" customWidth="1"/>
    <col min="8" max="8" width="8.28515625" bestFit="1" customWidth="1"/>
    <col min="9" max="9" width="8.28515625" customWidth="1"/>
    <col min="10" max="10" width="6.28515625" customWidth="1"/>
    <col min="11" max="11" width="6.7109375" bestFit="1" customWidth="1"/>
    <col min="12" max="12" width="8.140625" customWidth="1"/>
    <col min="16" max="16" width="18.5703125" bestFit="1" customWidth="1"/>
  </cols>
  <sheetData>
    <row r="1" spans="1:17" ht="15" customHeight="1" x14ac:dyDescent="0.25">
      <c r="A1" s="175" t="s">
        <v>27</v>
      </c>
      <c r="B1" s="176"/>
      <c r="C1" s="6" t="s">
        <v>161</v>
      </c>
      <c r="D1" s="6"/>
      <c r="E1" s="6"/>
      <c r="F1" s="177"/>
      <c r="G1" s="177"/>
      <c r="H1" s="177"/>
      <c r="I1" s="177"/>
      <c r="J1" s="177"/>
      <c r="K1" s="177"/>
      <c r="L1" s="177"/>
      <c r="M1" s="179" t="s">
        <v>29</v>
      </c>
    </row>
    <row r="2" spans="1:17" ht="15.75" thickBot="1" x14ac:dyDescent="0.3">
      <c r="A2" s="218" t="s">
        <v>162</v>
      </c>
      <c r="B2" s="219"/>
      <c r="C2" s="160" t="s">
        <v>163</v>
      </c>
      <c r="D2" s="160"/>
      <c r="E2" s="160"/>
      <c r="F2" s="215"/>
      <c r="G2" s="215"/>
      <c r="H2" s="215"/>
      <c r="I2" s="215"/>
      <c r="J2" s="215"/>
      <c r="K2" s="215"/>
      <c r="L2" s="215"/>
      <c r="M2" s="216"/>
    </row>
    <row r="3" spans="1:17" ht="94.5" customHeight="1" x14ac:dyDescent="0.25">
      <c r="A3" s="220" t="s">
        <v>30</v>
      </c>
      <c r="B3" s="222" t="s">
        <v>31</v>
      </c>
      <c r="C3" s="161" t="s">
        <v>32</v>
      </c>
      <c r="D3" s="40" t="s">
        <v>33</v>
      </c>
      <c r="E3" s="40" t="s">
        <v>33</v>
      </c>
      <c r="F3" s="40" t="s">
        <v>36</v>
      </c>
      <c r="G3" s="40" t="s">
        <v>39</v>
      </c>
      <c r="H3" s="40" t="s">
        <v>40</v>
      </c>
      <c r="I3" s="40" t="s">
        <v>51</v>
      </c>
      <c r="J3" s="40" t="s">
        <v>41</v>
      </c>
      <c r="K3" s="40" t="s">
        <v>45</v>
      </c>
      <c r="L3" s="40" t="s">
        <v>48</v>
      </c>
      <c r="M3" s="216"/>
    </row>
    <row r="4" spans="1:17" ht="15.75" thickBot="1" x14ac:dyDescent="0.3">
      <c r="A4" s="221"/>
      <c r="B4" s="223"/>
      <c r="C4" s="162"/>
      <c r="D4" s="2">
        <v>1</v>
      </c>
      <c r="E4" s="2">
        <v>1</v>
      </c>
      <c r="F4" s="2">
        <v>1</v>
      </c>
      <c r="G4" s="2">
        <v>1</v>
      </c>
      <c r="H4" s="2">
        <v>1</v>
      </c>
      <c r="I4" s="2">
        <v>1</v>
      </c>
      <c r="J4" s="2"/>
      <c r="K4" s="2"/>
      <c r="L4" s="2">
        <v>1</v>
      </c>
      <c r="M4" s="217"/>
    </row>
    <row r="5" spans="1:17" ht="24" customHeight="1" x14ac:dyDescent="0.25">
      <c r="A5" s="171">
        <v>1</v>
      </c>
      <c r="B5" s="53" t="s">
        <v>236</v>
      </c>
      <c r="C5" s="172" t="s">
        <v>115</v>
      </c>
      <c r="D5" s="143"/>
      <c r="E5" s="143"/>
      <c r="F5" s="102"/>
      <c r="G5" s="173" t="s">
        <v>58</v>
      </c>
      <c r="H5" s="173"/>
      <c r="I5" s="173" t="s">
        <v>58</v>
      </c>
      <c r="J5" s="173" t="s">
        <v>58</v>
      </c>
      <c r="K5" s="173" t="s">
        <v>58</v>
      </c>
      <c r="L5" s="173" t="s">
        <v>58</v>
      </c>
      <c r="M5" s="50">
        <f t="shared" ref="M5:M29" si="0">COUNTIF(E5:L5,"x")</f>
        <v>5</v>
      </c>
      <c r="O5" t="s">
        <v>63</v>
      </c>
      <c r="P5" t="s">
        <v>64</v>
      </c>
      <c r="Q5" t="s">
        <v>23</v>
      </c>
    </row>
    <row r="6" spans="1:17" ht="24" customHeight="1" x14ac:dyDescent="0.25">
      <c r="A6" s="171">
        <v>2</v>
      </c>
      <c r="B6" s="54" t="s">
        <v>237</v>
      </c>
      <c r="C6" s="172" t="s">
        <v>117</v>
      </c>
      <c r="D6" s="143"/>
      <c r="E6" s="143"/>
      <c r="F6" s="173"/>
      <c r="G6" s="173"/>
      <c r="H6" s="173"/>
      <c r="I6" s="173"/>
      <c r="J6" s="173"/>
      <c r="K6" s="173" t="s">
        <v>58</v>
      </c>
      <c r="L6" s="173" t="s">
        <v>58</v>
      </c>
      <c r="M6" s="50">
        <f t="shared" si="0"/>
        <v>2</v>
      </c>
      <c r="O6" s="41" t="s">
        <v>2</v>
      </c>
      <c r="P6">
        <f>COUNTIF($M$5:$M$29,"0")</f>
        <v>11</v>
      </c>
      <c r="Q6" s="42">
        <f>P6/$P$16</f>
        <v>0.44</v>
      </c>
    </row>
    <row r="7" spans="1:17" ht="24" customHeight="1" x14ac:dyDescent="0.25">
      <c r="A7" s="171">
        <v>3</v>
      </c>
      <c r="B7" s="54" t="s">
        <v>238</v>
      </c>
      <c r="C7" s="172" t="s">
        <v>239</v>
      </c>
      <c r="D7" s="143"/>
      <c r="E7" s="143"/>
      <c r="F7" s="173"/>
      <c r="G7" s="173"/>
      <c r="H7" s="173" t="s">
        <v>58</v>
      </c>
      <c r="I7" s="173"/>
      <c r="J7" s="173" t="s">
        <v>58</v>
      </c>
      <c r="K7" s="173"/>
      <c r="L7" s="173" t="s">
        <v>58</v>
      </c>
      <c r="M7" s="50">
        <f t="shared" si="0"/>
        <v>3</v>
      </c>
      <c r="O7" s="41" t="s">
        <v>3</v>
      </c>
      <c r="P7">
        <f>COUNTIF($M$5:$M$29,"1")</f>
        <v>2</v>
      </c>
      <c r="Q7" s="42">
        <f t="shared" ref="Q7:Q15" si="1">P7/$P$16</f>
        <v>0.08</v>
      </c>
    </row>
    <row r="8" spans="1:17" ht="24" customHeight="1" x14ac:dyDescent="0.25">
      <c r="A8" s="171">
        <v>4</v>
      </c>
      <c r="B8" s="54" t="s">
        <v>240</v>
      </c>
      <c r="C8" s="172" t="s">
        <v>121</v>
      </c>
      <c r="D8" s="143"/>
      <c r="E8" s="143" t="s">
        <v>58</v>
      </c>
      <c r="F8" s="173"/>
      <c r="G8" s="173"/>
      <c r="H8" s="173"/>
      <c r="I8" s="173"/>
      <c r="J8" s="173"/>
      <c r="K8" s="173"/>
      <c r="L8" s="173"/>
      <c r="M8" s="50">
        <f t="shared" si="0"/>
        <v>1</v>
      </c>
      <c r="O8" s="41" t="s">
        <v>4</v>
      </c>
      <c r="P8">
        <f>COUNTIF($M$5:$M$29,"2")</f>
        <v>3</v>
      </c>
      <c r="Q8" s="42">
        <f t="shared" si="1"/>
        <v>0.12</v>
      </c>
    </row>
    <row r="9" spans="1:17" ht="24" customHeight="1" x14ac:dyDescent="0.25">
      <c r="A9" s="171">
        <v>5</v>
      </c>
      <c r="B9" s="54" t="s">
        <v>241</v>
      </c>
      <c r="C9" s="172" t="s">
        <v>242</v>
      </c>
      <c r="D9" s="143"/>
      <c r="E9" s="143"/>
      <c r="F9" s="173"/>
      <c r="G9" s="173"/>
      <c r="H9" s="173" t="s">
        <v>58</v>
      </c>
      <c r="I9" s="173"/>
      <c r="J9" s="173" t="s">
        <v>58</v>
      </c>
      <c r="K9" s="173"/>
      <c r="L9" s="173"/>
      <c r="M9" s="50">
        <f t="shared" si="0"/>
        <v>2</v>
      </c>
      <c r="O9" s="41" t="s">
        <v>5</v>
      </c>
      <c r="P9">
        <f>COUNTIF($M$5:$M$29,"3")</f>
        <v>2</v>
      </c>
      <c r="Q9" s="42">
        <f t="shared" si="1"/>
        <v>0.08</v>
      </c>
    </row>
    <row r="10" spans="1:17" ht="24" customHeight="1" x14ac:dyDescent="0.25">
      <c r="A10" s="171">
        <v>6</v>
      </c>
      <c r="B10" s="54" t="s">
        <v>243</v>
      </c>
      <c r="C10" s="172" t="s">
        <v>244</v>
      </c>
      <c r="D10" s="143"/>
      <c r="E10" s="143"/>
      <c r="F10" s="173"/>
      <c r="G10" s="173" t="s">
        <v>58</v>
      </c>
      <c r="H10" s="173" t="s">
        <v>58</v>
      </c>
      <c r="I10" s="173"/>
      <c r="J10" s="173" t="s">
        <v>58</v>
      </c>
      <c r="K10" s="173"/>
      <c r="L10" s="173" t="s">
        <v>58</v>
      </c>
      <c r="M10" s="50">
        <f t="shared" si="0"/>
        <v>4</v>
      </c>
      <c r="O10" s="41" t="s">
        <v>6</v>
      </c>
      <c r="P10">
        <f>COUNTIF($M$5:$M$29,"4")</f>
        <v>3</v>
      </c>
      <c r="Q10" s="42">
        <f t="shared" si="1"/>
        <v>0.12</v>
      </c>
    </row>
    <row r="11" spans="1:17" ht="24" customHeight="1" x14ac:dyDescent="0.25">
      <c r="A11" s="171">
        <v>7</v>
      </c>
      <c r="B11" s="54" t="s">
        <v>245</v>
      </c>
      <c r="C11" s="172" t="s">
        <v>246</v>
      </c>
      <c r="D11" s="143"/>
      <c r="E11" s="143"/>
      <c r="F11" s="173"/>
      <c r="G11" s="173"/>
      <c r="H11" s="173"/>
      <c r="I11" s="173"/>
      <c r="J11" s="173"/>
      <c r="K11" s="173"/>
      <c r="L11" s="173"/>
      <c r="M11" s="50">
        <f t="shared" si="0"/>
        <v>0</v>
      </c>
      <c r="O11" s="41" t="s">
        <v>7</v>
      </c>
      <c r="P11">
        <f>COUNTIF($M$5:$M$29,"5")</f>
        <v>3</v>
      </c>
      <c r="Q11" s="42">
        <f t="shared" si="1"/>
        <v>0.12</v>
      </c>
    </row>
    <row r="12" spans="1:17" ht="24" customHeight="1" x14ac:dyDescent="0.25">
      <c r="A12" s="171">
        <v>8</v>
      </c>
      <c r="B12" s="54" t="s">
        <v>247</v>
      </c>
      <c r="C12" s="172" t="s">
        <v>125</v>
      </c>
      <c r="D12" s="143"/>
      <c r="E12" s="143" t="s">
        <v>58</v>
      </c>
      <c r="F12" s="173"/>
      <c r="G12" s="173"/>
      <c r="H12" s="173" t="s">
        <v>58</v>
      </c>
      <c r="I12" s="173"/>
      <c r="J12" s="173" t="s">
        <v>58</v>
      </c>
      <c r="K12" s="173" t="s">
        <v>58</v>
      </c>
      <c r="L12" s="173" t="s">
        <v>58</v>
      </c>
      <c r="M12" s="50">
        <f t="shared" si="0"/>
        <v>5</v>
      </c>
      <c r="O12" s="41" t="s">
        <v>8</v>
      </c>
      <c r="P12">
        <f>COUNTIF($M$5:$M$29,"6")</f>
        <v>0</v>
      </c>
      <c r="Q12" s="42">
        <f t="shared" si="1"/>
        <v>0</v>
      </c>
    </row>
    <row r="13" spans="1:17" ht="24" customHeight="1" x14ac:dyDescent="0.25">
      <c r="A13" s="171">
        <v>9</v>
      </c>
      <c r="B13" s="54" t="s">
        <v>248</v>
      </c>
      <c r="C13" s="172" t="s">
        <v>127</v>
      </c>
      <c r="D13" s="143"/>
      <c r="E13" s="143"/>
      <c r="F13" s="173"/>
      <c r="G13" s="173"/>
      <c r="H13" s="173"/>
      <c r="I13" s="173"/>
      <c r="J13" s="173"/>
      <c r="K13" s="173"/>
      <c r="L13" s="173"/>
      <c r="M13" s="50">
        <f t="shared" si="0"/>
        <v>0</v>
      </c>
      <c r="O13" s="41" t="s">
        <v>9</v>
      </c>
      <c r="P13">
        <f>COUNTIF($M$5:$M$29,"7")</f>
        <v>1</v>
      </c>
      <c r="Q13" s="42">
        <f t="shared" si="1"/>
        <v>0.04</v>
      </c>
    </row>
    <row r="14" spans="1:17" ht="24" customHeight="1" x14ac:dyDescent="0.25">
      <c r="A14" s="171">
        <v>10</v>
      </c>
      <c r="B14" s="54" t="s">
        <v>249</v>
      </c>
      <c r="C14" s="172" t="s">
        <v>250</v>
      </c>
      <c r="D14" s="143"/>
      <c r="E14" s="143"/>
      <c r="F14" s="173"/>
      <c r="G14" s="173"/>
      <c r="H14" s="173"/>
      <c r="I14" s="173"/>
      <c r="J14" s="173"/>
      <c r="K14" s="173"/>
      <c r="L14" s="173"/>
      <c r="M14" s="50">
        <f t="shared" si="0"/>
        <v>0</v>
      </c>
      <c r="O14" s="41" t="s">
        <v>10</v>
      </c>
      <c r="P14">
        <f>COUNTIF($M$5:$M$29,"8")</f>
        <v>0</v>
      </c>
      <c r="Q14" s="42">
        <f t="shared" si="1"/>
        <v>0</v>
      </c>
    </row>
    <row r="15" spans="1:17" ht="24" customHeight="1" x14ac:dyDescent="0.25">
      <c r="A15" s="171">
        <v>11</v>
      </c>
      <c r="B15" s="54" t="s">
        <v>251</v>
      </c>
      <c r="C15" s="172" t="s">
        <v>252</v>
      </c>
      <c r="D15" s="143"/>
      <c r="E15" s="143"/>
      <c r="F15" s="173"/>
      <c r="G15" s="173" t="s">
        <v>58</v>
      </c>
      <c r="H15" s="173"/>
      <c r="I15" s="173"/>
      <c r="J15" s="173" t="s">
        <v>58</v>
      </c>
      <c r="K15" s="173" t="s">
        <v>58</v>
      </c>
      <c r="L15" s="173" t="s">
        <v>58</v>
      </c>
      <c r="M15" s="50">
        <f t="shared" si="0"/>
        <v>4</v>
      </c>
      <c r="O15" s="41"/>
      <c r="Q15" s="42">
        <f t="shared" si="1"/>
        <v>0</v>
      </c>
    </row>
    <row r="16" spans="1:17" ht="24" customHeight="1" x14ac:dyDescent="0.25">
      <c r="A16" s="171">
        <v>12</v>
      </c>
      <c r="B16" s="54" t="s">
        <v>253</v>
      </c>
      <c r="C16" s="172" t="s">
        <v>130</v>
      </c>
      <c r="D16" s="143"/>
      <c r="E16" s="143"/>
      <c r="F16" s="173"/>
      <c r="G16" s="173"/>
      <c r="H16" s="173"/>
      <c r="I16" s="173"/>
      <c r="J16" s="173"/>
      <c r="K16" s="173"/>
      <c r="L16" s="173"/>
      <c r="M16" s="50">
        <f t="shared" si="0"/>
        <v>0</v>
      </c>
      <c r="P16">
        <f>SUM(P6:P15)</f>
        <v>25</v>
      </c>
    </row>
    <row r="17" spans="1:16" ht="24" customHeight="1" x14ac:dyDescent="0.25">
      <c r="A17" s="171">
        <v>13</v>
      </c>
      <c r="B17" s="54" t="s">
        <v>254</v>
      </c>
      <c r="C17" s="172" t="s">
        <v>255</v>
      </c>
      <c r="D17" s="143"/>
      <c r="E17" s="143"/>
      <c r="F17" s="173"/>
      <c r="G17" s="173"/>
      <c r="H17" s="173"/>
      <c r="I17" s="173"/>
      <c r="J17" s="173"/>
      <c r="K17" s="173"/>
      <c r="L17" s="173"/>
      <c r="M17" s="50">
        <f t="shared" si="0"/>
        <v>0</v>
      </c>
    </row>
    <row r="18" spans="1:16" ht="24" customHeight="1" x14ac:dyDescent="0.25">
      <c r="A18" s="171">
        <v>14</v>
      </c>
      <c r="B18" s="54" t="s">
        <v>256</v>
      </c>
      <c r="C18" s="172" t="s">
        <v>132</v>
      </c>
      <c r="D18" s="143"/>
      <c r="E18" s="143"/>
      <c r="F18" s="173"/>
      <c r="G18" s="173" t="s">
        <v>58</v>
      </c>
      <c r="H18" s="173"/>
      <c r="I18" s="173"/>
      <c r="J18" s="173"/>
      <c r="K18" s="173"/>
      <c r="L18" s="173"/>
      <c r="M18" s="50">
        <f t="shared" si="0"/>
        <v>1</v>
      </c>
    </row>
    <row r="19" spans="1:16" ht="24" customHeight="1" x14ac:dyDescent="0.25">
      <c r="A19" s="171">
        <v>15</v>
      </c>
      <c r="B19" s="54" t="s">
        <v>257</v>
      </c>
      <c r="C19" s="172" t="s">
        <v>133</v>
      </c>
      <c r="D19" s="143"/>
      <c r="E19" s="143" t="s">
        <v>58</v>
      </c>
      <c r="F19" s="173"/>
      <c r="G19" s="173" t="s">
        <v>58</v>
      </c>
      <c r="H19" s="173"/>
      <c r="I19" s="173"/>
      <c r="J19" s="173" t="s">
        <v>58</v>
      </c>
      <c r="K19" s="173" t="s">
        <v>58</v>
      </c>
      <c r="L19" s="173" t="s">
        <v>58</v>
      </c>
      <c r="M19" s="50">
        <f t="shared" si="0"/>
        <v>5</v>
      </c>
    </row>
    <row r="20" spans="1:16" ht="24" customHeight="1" x14ac:dyDescent="0.25">
      <c r="A20" s="171">
        <v>16</v>
      </c>
      <c r="B20" s="54" t="s">
        <v>258</v>
      </c>
      <c r="C20" s="172" t="s">
        <v>259</v>
      </c>
      <c r="D20" s="143"/>
      <c r="E20" s="143"/>
      <c r="F20" s="173"/>
      <c r="G20" s="173"/>
      <c r="H20" s="173"/>
      <c r="I20" s="173"/>
      <c r="J20" s="173"/>
      <c r="K20" s="173"/>
      <c r="L20" s="173"/>
      <c r="M20" s="50">
        <f t="shared" si="0"/>
        <v>0</v>
      </c>
    </row>
    <row r="21" spans="1:16" ht="24" customHeight="1" x14ac:dyDescent="0.25">
      <c r="A21" s="171">
        <v>17</v>
      </c>
      <c r="B21" s="54" t="s">
        <v>260</v>
      </c>
      <c r="C21" s="172" t="s">
        <v>135</v>
      </c>
      <c r="D21" s="143"/>
      <c r="E21" s="143"/>
      <c r="F21" s="173"/>
      <c r="G21" s="173"/>
      <c r="H21" s="173"/>
      <c r="I21" s="173"/>
      <c r="J21" s="173"/>
      <c r="K21" s="173"/>
      <c r="L21" s="173"/>
      <c r="M21" s="50">
        <f t="shared" si="0"/>
        <v>0</v>
      </c>
      <c r="P21">
        <f>SUM(P6:P8)</f>
        <v>16</v>
      </c>
    </row>
    <row r="22" spans="1:16" ht="24" customHeight="1" x14ac:dyDescent="0.25">
      <c r="A22" s="171">
        <v>18</v>
      </c>
      <c r="B22" s="54" t="s">
        <v>261</v>
      </c>
      <c r="C22" s="172" t="s">
        <v>136</v>
      </c>
      <c r="D22" s="143"/>
      <c r="E22" s="143" t="s">
        <v>58</v>
      </c>
      <c r="F22" s="173"/>
      <c r="G22" s="173" t="s">
        <v>58</v>
      </c>
      <c r="H22" s="173" t="s">
        <v>58</v>
      </c>
      <c r="I22" s="173" t="s">
        <v>58</v>
      </c>
      <c r="J22" s="173" t="s">
        <v>58</v>
      </c>
      <c r="K22" s="173" t="s">
        <v>58</v>
      </c>
      <c r="L22" s="173" t="s">
        <v>58</v>
      </c>
      <c r="M22" s="50">
        <f t="shared" si="0"/>
        <v>7</v>
      </c>
    </row>
    <row r="23" spans="1:16" ht="24" customHeight="1" x14ac:dyDescent="0.25">
      <c r="A23" s="171">
        <v>19</v>
      </c>
      <c r="B23" s="54" t="s">
        <v>262</v>
      </c>
      <c r="C23" s="172" t="s">
        <v>137</v>
      </c>
      <c r="D23" s="143"/>
      <c r="E23" s="143"/>
      <c r="F23" s="173"/>
      <c r="G23" s="173"/>
      <c r="H23" s="173" t="s">
        <v>58</v>
      </c>
      <c r="I23" s="173"/>
      <c r="J23" s="173"/>
      <c r="K23" s="173"/>
      <c r="L23" s="173" t="s">
        <v>58</v>
      </c>
      <c r="M23" s="50">
        <f t="shared" si="0"/>
        <v>2</v>
      </c>
    </row>
    <row r="24" spans="1:16" ht="24" customHeight="1" x14ac:dyDescent="0.25">
      <c r="A24" s="171">
        <v>20</v>
      </c>
      <c r="B24" s="54" t="s">
        <v>263</v>
      </c>
      <c r="C24" s="172" t="s">
        <v>139</v>
      </c>
      <c r="D24" s="143"/>
      <c r="E24" s="143" t="s">
        <v>58</v>
      </c>
      <c r="F24" s="173"/>
      <c r="G24" s="173" t="s">
        <v>58</v>
      </c>
      <c r="H24" s="173" t="s">
        <v>58</v>
      </c>
      <c r="I24" s="173"/>
      <c r="J24" s="173"/>
      <c r="K24" s="173"/>
      <c r="L24" s="173" t="s">
        <v>58</v>
      </c>
      <c r="M24" s="50">
        <f t="shared" si="0"/>
        <v>4</v>
      </c>
    </row>
    <row r="25" spans="1:16" ht="24" customHeight="1" x14ac:dyDescent="0.25">
      <c r="A25" s="171">
        <v>21</v>
      </c>
      <c r="B25" s="54" t="s">
        <v>264</v>
      </c>
      <c r="C25" s="172" t="s">
        <v>140</v>
      </c>
      <c r="D25" s="143"/>
      <c r="E25" s="143" t="s">
        <v>58</v>
      </c>
      <c r="F25" s="173"/>
      <c r="G25" s="173"/>
      <c r="H25" s="173"/>
      <c r="I25" s="173"/>
      <c r="J25" s="173"/>
      <c r="K25" s="173" t="s">
        <v>58</v>
      </c>
      <c r="L25" s="173" t="s">
        <v>58</v>
      </c>
      <c r="M25" s="50">
        <f t="shared" si="0"/>
        <v>3</v>
      </c>
    </row>
    <row r="26" spans="1:16" ht="24" customHeight="1" x14ac:dyDescent="0.25">
      <c r="A26" s="171">
        <v>22</v>
      </c>
      <c r="B26" s="54" t="s">
        <v>265</v>
      </c>
      <c r="C26" s="172" t="s">
        <v>266</v>
      </c>
      <c r="D26" s="143"/>
      <c r="E26" s="143"/>
      <c r="F26" s="173"/>
      <c r="G26" s="173"/>
      <c r="H26" s="173"/>
      <c r="I26" s="173"/>
      <c r="J26" s="173"/>
      <c r="K26" s="173"/>
      <c r="L26" s="173"/>
      <c r="M26" s="50">
        <f t="shared" si="0"/>
        <v>0</v>
      </c>
    </row>
    <row r="27" spans="1:16" ht="24" customHeight="1" x14ac:dyDescent="0.25">
      <c r="A27" s="171">
        <v>23</v>
      </c>
      <c r="B27" s="54" t="s">
        <v>267</v>
      </c>
      <c r="C27" s="172" t="s">
        <v>268</v>
      </c>
      <c r="D27" s="143"/>
      <c r="E27" s="143"/>
      <c r="F27" s="173"/>
      <c r="G27" s="173"/>
      <c r="H27" s="173"/>
      <c r="I27" s="173"/>
      <c r="J27" s="173"/>
      <c r="K27" s="173"/>
      <c r="L27" s="173"/>
      <c r="M27" s="50">
        <f t="shared" si="0"/>
        <v>0</v>
      </c>
    </row>
    <row r="28" spans="1:16" ht="24" customHeight="1" x14ac:dyDescent="0.25">
      <c r="A28" s="171">
        <v>24</v>
      </c>
      <c r="B28" s="54" t="s">
        <v>269</v>
      </c>
      <c r="C28" s="172" t="s">
        <v>270</v>
      </c>
      <c r="D28" s="143"/>
      <c r="E28" s="143"/>
      <c r="F28" s="173"/>
      <c r="G28" s="173"/>
      <c r="H28" s="173"/>
      <c r="I28" s="173"/>
      <c r="J28" s="173"/>
      <c r="K28" s="173"/>
      <c r="L28" s="173"/>
      <c r="M28" s="50">
        <f t="shared" si="0"/>
        <v>0</v>
      </c>
    </row>
    <row r="29" spans="1:16" ht="24" customHeight="1" x14ac:dyDescent="0.25">
      <c r="A29" s="171">
        <v>25</v>
      </c>
      <c r="B29" s="54" t="s">
        <v>271</v>
      </c>
      <c r="C29" s="172" t="s">
        <v>143</v>
      </c>
      <c r="D29" s="143"/>
      <c r="E29" s="143"/>
      <c r="F29" s="173"/>
      <c r="G29" s="173"/>
      <c r="H29" s="173"/>
      <c r="I29" s="173"/>
      <c r="J29" s="173"/>
      <c r="K29" s="173"/>
      <c r="L29" s="173"/>
      <c r="M29" s="50">
        <f t="shared" si="0"/>
        <v>0</v>
      </c>
    </row>
    <row r="30" spans="1:16" ht="15.75" thickBot="1" x14ac:dyDescent="0.3">
      <c r="E30" s="174"/>
      <c r="F30" s="173"/>
      <c r="G30" s="173"/>
      <c r="I30" s="132"/>
      <c r="J30" s="132"/>
    </row>
    <row r="31" spans="1:16" ht="15.75" thickBot="1" x14ac:dyDescent="0.3">
      <c r="F31" s="132"/>
      <c r="G31" s="132"/>
    </row>
  </sheetData>
  <mergeCells count="6">
    <mergeCell ref="M1:M4"/>
    <mergeCell ref="A1:B1"/>
    <mergeCell ref="A2:B2"/>
    <mergeCell ref="A3:A4"/>
    <mergeCell ref="B3:B4"/>
    <mergeCell ref="F1:L2"/>
  </mergeCells>
  <conditionalFormatting sqref="C5:D29">
    <cfRule type="cellIs" dxfId="6" priority="9" operator="equal">
      <formula>"X"</formula>
    </cfRule>
  </conditionalFormatting>
  <conditionalFormatting sqref="E5:E30">
    <cfRule type="cellIs" dxfId="5" priority="1" operator="equal">
      <formula>"X"</formula>
    </cfRule>
  </conditionalFormatting>
  <conditionalFormatting sqref="F6:F31">
    <cfRule type="cellIs" dxfId="4" priority="8" operator="equal">
      <formula>"X"</formula>
    </cfRule>
  </conditionalFormatting>
  <conditionalFormatting sqref="G30:G31">
    <cfRule type="cellIs" dxfId="3" priority="7" operator="equal">
      <formula>"X"</formula>
    </cfRule>
  </conditionalFormatting>
  <conditionalFormatting sqref="G5:H29">
    <cfRule type="cellIs" dxfId="2" priority="6" operator="equal">
      <formula>"X"</formula>
    </cfRule>
  </conditionalFormatting>
  <conditionalFormatting sqref="I5:J30">
    <cfRule type="cellIs" dxfId="1" priority="4" operator="equal">
      <formula>"X"</formula>
    </cfRule>
  </conditionalFormatting>
  <conditionalFormatting sqref="K5:L29">
    <cfRule type="cellIs" dxfId="0" priority="2" operator="equal">
      <formula>"X"</formula>
    </cfRule>
  </conditionalFormatting>
  <printOptions horizontalCentered="1" gridLines="1"/>
  <pageMargins left="0.11811023622047245" right="0.59055118110236227" top="0.39370078740157483" bottom="0.39370078740157483" header="0.19685039370078741" footer="0.19685039370078741"/>
  <pageSetup paperSize="14" scale="95" orientation="landscape" r:id="rId1"/>
  <headerFooter>
    <oddFooter>&amp;CC:\Master2000\ - Página 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4</vt:i4>
      </vt:variant>
    </vt:vector>
  </HeadingPairs>
  <TitlesOfParts>
    <vt:vector size="16" baseType="lpstr">
      <vt:lpstr>Informe 6-5</vt:lpstr>
      <vt:lpstr>informe PARCIAL 1 periodo (2)</vt:lpstr>
      <vt:lpstr>Hoja5</vt:lpstr>
      <vt:lpstr>informe Final 2 periodo</vt:lpstr>
      <vt:lpstr>INFORME FINAL 3ER PERIODO</vt:lpstr>
      <vt:lpstr>Informe</vt:lpstr>
      <vt:lpstr>Hoja3</vt:lpstr>
      <vt:lpstr>Estadisticas</vt:lpstr>
      <vt:lpstr>Estadisticas IPERIODO</vt:lpstr>
      <vt:lpstr>Hoja4</vt:lpstr>
      <vt:lpstr>Hoja2</vt:lpstr>
      <vt:lpstr>Hoja1</vt:lpstr>
      <vt:lpstr>Estadisticas!BDNOTAS</vt:lpstr>
      <vt:lpstr>'Estadisticas IPERIODO'!BDNOTAS</vt:lpstr>
      <vt:lpstr>'informe PARCIAL 1 periodo (2)'!BDNOTAS</vt:lpstr>
      <vt:lpstr>BDNOTAS</vt:lpstr>
    </vt:vector>
  </TitlesOfParts>
  <Manager/>
  <Company>SECRETARIA DE EDUCACION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IE ANGELA RESTREPO</dc:creator>
  <cp:keywords/>
  <dc:description/>
  <cp:lastModifiedBy>Javier Ospina Moreno</cp:lastModifiedBy>
  <cp:revision/>
  <dcterms:created xsi:type="dcterms:W3CDTF">2013-04-17T20:00:56Z</dcterms:created>
  <dcterms:modified xsi:type="dcterms:W3CDTF">2025-09-30T16:13:05Z</dcterms:modified>
  <cp:category/>
  <cp:contentStatus/>
</cp:coreProperties>
</file>