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 Ospina\Desktop\"/>
    </mc:Choice>
  </mc:AlternateContent>
  <xr:revisionPtr revIDLastSave="0" documentId="13_ncr:1_{16DB1775-3097-4745-80DE-0A7CAC14693C}" xr6:coauthVersionLast="47" xr6:coauthVersionMax="47" xr10:uidLastSave="{00000000-0000-0000-0000-000000000000}"/>
  <bookViews>
    <workbookView xWindow="-120" yWindow="-120" windowWidth="20730" windowHeight="11160" firstSheet="3" activeTab="4" xr2:uid="{00000000-000D-0000-FFFF-FFFF00000000}"/>
  </bookViews>
  <sheets>
    <sheet name="Informe 6-5" sheetId="1" state="hidden" r:id="rId1"/>
    <sheet name="informe PARCIAL 1 periodo (2)" sheetId="13" state="hidden" r:id="rId2"/>
    <sheet name="Hoja5" sheetId="14" state="hidden" r:id="rId3"/>
    <sheet name="informe Final 2 periodo" sheetId="5" r:id="rId4"/>
    <sheet name="INFORME FINAL 2DO PERIODO" sheetId="2" r:id="rId5"/>
    <sheet name="Informe" sheetId="11" state="hidden" r:id="rId6"/>
    <sheet name="Hoja3" sheetId="12" state="hidden" r:id="rId7"/>
    <sheet name="Estadisticas" sheetId="6" state="hidden" r:id="rId8"/>
    <sheet name="Estadisticas IPERIODO" sheetId="10" state="hidden" r:id="rId9"/>
    <sheet name="Hoja4" sheetId="15" state="hidden" r:id="rId10"/>
    <sheet name="Hoja2" sheetId="7" state="hidden" r:id="rId11"/>
    <sheet name="Hoja1" sheetId="8" state="hidden" r:id="rId12"/>
  </sheets>
  <definedNames>
    <definedName name="_xlnm._FilterDatabase" localSheetId="3" hidden="1">'informe Final 2 periodo'!$AF$3:$AG$32</definedName>
    <definedName name="BDNOTAS" localSheetId="7">Estadisticas!$1:$1048576</definedName>
    <definedName name="BDNOTAS" localSheetId="8">'Estadisticas IPERIODO'!$1:$1048576</definedName>
    <definedName name="BDNOTAS" localSheetId="1">'informe PARCIAL 1 periodo (2)'!$1:$1048576</definedName>
    <definedName name="BDNOTAS">'informe Final 2 periodo'!$1:$1048576</definedName>
    <definedName name="BDNOTAS2">#REF!</definedName>
    <definedName name="CONSOLIDADOI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5" i="5" l="1"/>
  <c r="AJ14" i="5"/>
  <c r="AJ13" i="5"/>
  <c r="AJ12" i="5"/>
  <c r="AJ11" i="5"/>
  <c r="AJ10" i="5"/>
  <c r="AJ9" i="5"/>
  <c r="AJ8" i="5"/>
  <c r="AJ7" i="5"/>
  <c r="AP7" i="5" s="1"/>
  <c r="AF29" i="5"/>
  <c r="AF30" i="5"/>
  <c r="AF31" i="5"/>
  <c r="AF32" i="5"/>
  <c r="E33" i="5"/>
  <c r="AF9" i="5"/>
  <c r="AF4" i="5"/>
  <c r="P16" i="10"/>
  <c r="AF5" i="5"/>
  <c r="AF6" i="5"/>
  <c r="AF7" i="5"/>
  <c r="AF8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V33" i="5"/>
  <c r="G33" i="5"/>
  <c r="AK8" i="13"/>
  <c r="AK9" i="13"/>
  <c r="AK10" i="13"/>
  <c r="AK11" i="13"/>
  <c r="AK12" i="13"/>
  <c r="AK13" i="13"/>
  <c r="AK14" i="13"/>
  <c r="AK15" i="13"/>
  <c r="V42" i="13"/>
  <c r="D16" i="14" s="1"/>
  <c r="U42" i="13"/>
  <c r="D15" i="14" s="1"/>
  <c r="T42" i="13"/>
  <c r="D14" i="14" s="1"/>
  <c r="S42" i="13"/>
  <c r="R42" i="13"/>
  <c r="D13" i="14" s="1"/>
  <c r="Q42" i="13"/>
  <c r="D12" i="14" s="1"/>
  <c r="P42" i="13"/>
  <c r="O42" i="13"/>
  <c r="D11" i="14" s="1"/>
  <c r="N42" i="13"/>
  <c r="D10" i="14" s="1"/>
  <c r="M42" i="13"/>
  <c r="D9" i="14" s="1"/>
  <c r="L42" i="13"/>
  <c r="K42" i="13"/>
  <c r="D8" i="14" s="1"/>
  <c r="J42" i="13"/>
  <c r="D7" i="14" s="1"/>
  <c r="I42" i="13"/>
  <c r="D6" i="14" s="1"/>
  <c r="H42" i="13"/>
  <c r="D5" i="14" s="1"/>
  <c r="G42" i="13"/>
  <c r="F42" i="13"/>
  <c r="D4" i="14" s="1"/>
  <c r="E42" i="13"/>
  <c r="D3" i="14" s="1"/>
  <c r="D42" i="13"/>
  <c r="AF41" i="13"/>
  <c r="AF40" i="13"/>
  <c r="Y40" i="13"/>
  <c r="X40" i="13"/>
  <c r="W40" i="13" s="1"/>
  <c r="AF39" i="13"/>
  <c r="Y39" i="13"/>
  <c r="X39" i="13"/>
  <c r="AF38" i="13"/>
  <c r="Y38" i="13"/>
  <c r="X38" i="13"/>
  <c r="AA38" i="13" s="1"/>
  <c r="AF37" i="13"/>
  <c r="Y37" i="13"/>
  <c r="X37" i="13"/>
  <c r="W37" i="13" s="1"/>
  <c r="AF36" i="13"/>
  <c r="Y36" i="13"/>
  <c r="X36" i="13"/>
  <c r="W36" i="13" s="1"/>
  <c r="AF35" i="13"/>
  <c r="Y35" i="13"/>
  <c r="X35" i="13"/>
  <c r="AF34" i="13"/>
  <c r="AE34" i="13"/>
  <c r="Y34" i="13"/>
  <c r="X34" i="13"/>
  <c r="AF33" i="13"/>
  <c r="Y33" i="13"/>
  <c r="X33" i="13"/>
  <c r="AA33" i="13" s="1"/>
  <c r="AF32" i="13"/>
  <c r="Y32" i="13"/>
  <c r="X32" i="13"/>
  <c r="AF31" i="13"/>
  <c r="Y31" i="13"/>
  <c r="X31" i="13"/>
  <c r="W31" i="13" s="1"/>
  <c r="AF30" i="13"/>
  <c r="Y30" i="13"/>
  <c r="X30" i="13"/>
  <c r="AF29" i="13"/>
  <c r="Y29" i="13"/>
  <c r="X29" i="13"/>
  <c r="AF28" i="13"/>
  <c r="Y28" i="13"/>
  <c r="X28" i="13"/>
  <c r="AF27" i="13"/>
  <c r="Y27" i="13"/>
  <c r="X27" i="13"/>
  <c r="W27" i="13" s="1"/>
  <c r="AF26" i="13"/>
  <c r="Y26" i="13"/>
  <c r="X26" i="13"/>
  <c r="AF25" i="13"/>
  <c r="Y25" i="13"/>
  <c r="X25" i="13"/>
  <c r="Z25" i="13" s="1"/>
  <c r="AF24" i="13"/>
  <c r="Y24" i="13"/>
  <c r="X24" i="13"/>
  <c r="AF23" i="13"/>
  <c r="Y23" i="13"/>
  <c r="X23" i="13"/>
  <c r="AF22" i="13"/>
  <c r="Y22" i="13"/>
  <c r="X22" i="13"/>
  <c r="W22" i="13" s="1"/>
  <c r="AF21" i="13"/>
  <c r="Y21" i="13"/>
  <c r="X21" i="13"/>
  <c r="W21" i="13" s="1"/>
  <c r="AF20" i="13"/>
  <c r="Y20" i="13"/>
  <c r="X20" i="13"/>
  <c r="W20" i="13" s="1"/>
  <c r="AF19" i="13"/>
  <c r="Y19" i="13"/>
  <c r="X19" i="13"/>
  <c r="W19" i="13" s="1"/>
  <c r="AF18" i="13"/>
  <c r="Y18" i="13"/>
  <c r="X18" i="13"/>
  <c r="AF17" i="13"/>
  <c r="Y17" i="13"/>
  <c r="X17" i="13"/>
  <c r="AA17" i="13" s="1"/>
  <c r="AF16" i="13"/>
  <c r="Y16" i="13"/>
  <c r="X16" i="13"/>
  <c r="W16" i="13" s="1"/>
  <c r="AJ15" i="13"/>
  <c r="AF15" i="13"/>
  <c r="Y15" i="13"/>
  <c r="X15" i="13"/>
  <c r="AJ14" i="13"/>
  <c r="AF14" i="13"/>
  <c r="Y14" i="13"/>
  <c r="X14" i="13"/>
  <c r="AJ13" i="13"/>
  <c r="AF13" i="13"/>
  <c r="Y13" i="13"/>
  <c r="X13" i="13"/>
  <c r="AJ12" i="13"/>
  <c r="AF12" i="13"/>
  <c r="Y12" i="13"/>
  <c r="X12" i="13"/>
  <c r="AJ11" i="13"/>
  <c r="AF11" i="13"/>
  <c r="Y11" i="13"/>
  <c r="X11" i="13"/>
  <c r="AJ10" i="13"/>
  <c r="AF10" i="13"/>
  <c r="Y10" i="13"/>
  <c r="X10" i="13"/>
  <c r="W10" i="13" s="1"/>
  <c r="AJ9" i="13"/>
  <c r="AF9" i="13"/>
  <c r="Y9" i="13"/>
  <c r="X9" i="13"/>
  <c r="AJ8" i="13"/>
  <c r="AF8" i="13"/>
  <c r="Y8" i="13"/>
  <c r="X8" i="13"/>
  <c r="W8" i="13" s="1"/>
  <c r="AJ7" i="13"/>
  <c r="AJ17" i="13" s="1"/>
  <c r="AK7" i="13" s="1"/>
  <c r="AF7" i="13"/>
  <c r="Y7" i="13"/>
  <c r="X7" i="13"/>
  <c r="AF6" i="13"/>
  <c r="Y6" i="13"/>
  <c r="X6" i="13"/>
  <c r="W6" i="13" s="1"/>
  <c r="AF5" i="13"/>
  <c r="Y5" i="13"/>
  <c r="X5" i="13"/>
  <c r="W5" i="13" s="1"/>
  <c r="AF4" i="13"/>
  <c r="Y4" i="13"/>
  <c r="X4" i="13"/>
  <c r="W4" i="13" s="1"/>
  <c r="F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D33" i="5"/>
  <c r="AJ17" i="5" l="1"/>
  <c r="AP9" i="5" s="1"/>
  <c r="AP8" i="5" s="1"/>
  <c r="AQ8" i="5" s="1"/>
  <c r="AA12" i="13"/>
  <c r="Z14" i="13"/>
  <c r="Z7" i="13"/>
  <c r="AA9" i="13"/>
  <c r="Z11" i="13"/>
  <c r="AA13" i="13"/>
  <c r="Z15" i="13"/>
  <c r="AA26" i="13"/>
  <c r="AA39" i="13"/>
  <c r="AA29" i="13"/>
  <c r="AA24" i="13"/>
  <c r="Z30" i="13"/>
  <c r="AA35" i="13"/>
  <c r="AO19" i="13"/>
  <c r="AO16" i="13"/>
  <c r="AO20" i="13"/>
  <c r="AA16" i="13"/>
  <c r="Z21" i="13"/>
  <c r="Z34" i="13"/>
  <c r="AO13" i="13"/>
  <c r="AO21" i="13"/>
  <c r="AO12" i="13"/>
  <c r="AO14" i="13"/>
  <c r="Z32" i="13"/>
  <c r="AO7" i="13"/>
  <c r="AO15" i="13"/>
  <c r="AO8" i="13"/>
  <c r="AA27" i="13"/>
  <c r="AO9" i="13"/>
  <c r="AO17" i="13"/>
  <c r="AO10" i="13"/>
  <c r="AO18" i="13"/>
  <c r="AA18" i="13"/>
  <c r="AA23" i="13"/>
  <c r="Z28" i="13"/>
  <c r="AO11" i="13"/>
  <c r="W14" i="13"/>
  <c r="W33" i="13"/>
  <c r="Z24" i="13"/>
  <c r="Z10" i="13"/>
  <c r="AA14" i="13"/>
  <c r="W29" i="13"/>
  <c r="Z29" i="13"/>
  <c r="W24" i="13"/>
  <c r="Z6" i="13"/>
  <c r="Z8" i="13"/>
  <c r="W12" i="13"/>
  <c r="Z37" i="13"/>
  <c r="Z33" i="13"/>
  <c r="AA10" i="13"/>
  <c r="AA11" i="13"/>
  <c r="W28" i="13"/>
  <c r="AA6" i="13"/>
  <c r="W34" i="13"/>
  <c r="W38" i="13"/>
  <c r="AA15" i="13"/>
  <c r="AA28" i="13"/>
  <c r="AA34" i="13"/>
  <c r="Z38" i="13"/>
  <c r="AA7" i="13"/>
  <c r="Z12" i="13"/>
  <c r="AA31" i="13"/>
  <c r="AF42" i="13"/>
  <c r="AA19" i="13"/>
  <c r="AA30" i="13"/>
  <c r="AA32" i="13"/>
  <c r="AA21" i="13"/>
  <c r="W23" i="13"/>
  <c r="AA25" i="13"/>
  <c r="W13" i="13"/>
  <c r="Z16" i="13"/>
  <c r="Z23" i="13"/>
  <c r="W30" i="13"/>
  <c r="W9" i="13"/>
  <c r="Z22" i="13"/>
  <c r="W25" i="13"/>
  <c r="W32" i="13"/>
  <c r="Z5" i="13"/>
  <c r="AA5" i="13"/>
  <c r="Z9" i="13"/>
  <c r="Z13" i="13"/>
  <c r="W18" i="13"/>
  <c r="AA22" i="13"/>
  <c r="W26" i="13"/>
  <c r="W35" i="13"/>
  <c r="AA37" i="13"/>
  <c r="W39" i="13"/>
  <c r="Z4" i="13"/>
  <c r="W7" i="13"/>
  <c r="W11" i="13"/>
  <c r="W15" i="13"/>
  <c r="Z20" i="13"/>
  <c r="Z36" i="13"/>
  <c r="Z40" i="13"/>
  <c r="Z19" i="13"/>
  <c r="AA20" i="13"/>
  <c r="Z27" i="13"/>
  <c r="Z31" i="13"/>
  <c r="AA36" i="13"/>
  <c r="AA40" i="13"/>
  <c r="Z17" i="13"/>
  <c r="Z18" i="13"/>
  <c r="Z26" i="13"/>
  <c r="Z35" i="13"/>
  <c r="Z39" i="13"/>
  <c r="AA8" i="13"/>
  <c r="AA4" i="13"/>
  <c r="C5" i="11"/>
  <c r="C2" i="11"/>
  <c r="C3" i="11"/>
  <c r="C4" i="11"/>
  <c r="C6" i="2"/>
  <c r="AK13" i="5" l="1"/>
  <c r="AQ7" i="5"/>
  <c r="AK7" i="5"/>
  <c r="AK9" i="5"/>
  <c r="AK12" i="5"/>
  <c r="AK10" i="5"/>
  <c r="AK8" i="5"/>
  <c r="AK15" i="5"/>
  <c r="AK11" i="5"/>
  <c r="AK14" i="5"/>
  <c r="AC57" i="13"/>
  <c r="AD57" i="13" s="1"/>
  <c r="AC56" i="13"/>
  <c r="AD56" i="13" s="1"/>
  <c r="AC55" i="13"/>
  <c r="AD55" i="13" s="1"/>
  <c r="AD11" i="13"/>
  <c r="AD7" i="13"/>
  <c r="AD14" i="13"/>
  <c r="AD10" i="13"/>
  <c r="AD6" i="13"/>
  <c r="AD13" i="13"/>
  <c r="AD9" i="13"/>
  <c r="AD12" i="13"/>
  <c r="AD8" i="13"/>
  <c r="C6" i="11"/>
  <c r="D5" i="11" s="1"/>
  <c r="AK17" i="5" l="1"/>
  <c r="D4" i="11"/>
  <c r="D2" i="11"/>
  <c r="D3" i="11"/>
  <c r="D9" i="2" l="1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4" i="5"/>
  <c r="X6" i="5"/>
  <c r="X5" i="5"/>
  <c r="X7" i="5"/>
  <c r="W7" i="5" s="1"/>
  <c r="X8" i="5"/>
  <c r="X9" i="5"/>
  <c r="X10" i="5"/>
  <c r="W10" i="5" s="1"/>
  <c r="X11" i="5"/>
  <c r="W11" i="5" s="1"/>
  <c r="X12" i="5"/>
  <c r="W12" i="5" s="1"/>
  <c r="X13" i="5"/>
  <c r="X14" i="5"/>
  <c r="W14" i="5" s="1"/>
  <c r="X15" i="5"/>
  <c r="W15" i="5" s="1"/>
  <c r="X16" i="5"/>
  <c r="W16" i="5" s="1"/>
  <c r="X17" i="5"/>
  <c r="X18" i="5"/>
  <c r="X19" i="5"/>
  <c r="W19" i="5" s="1"/>
  <c r="X20" i="5"/>
  <c r="X21" i="5"/>
  <c r="W21" i="5" s="1"/>
  <c r="X22" i="5"/>
  <c r="X23" i="5"/>
  <c r="W23" i="5" s="1"/>
  <c r="X24" i="5"/>
  <c r="X25" i="5"/>
  <c r="W25" i="5" s="1"/>
  <c r="X26" i="5"/>
  <c r="X27" i="5"/>
  <c r="W27" i="5" s="1"/>
  <c r="X28" i="5"/>
  <c r="W28" i="5" s="1"/>
  <c r="X29" i="5"/>
  <c r="X4" i="5"/>
  <c r="W4" i="5" s="1"/>
  <c r="D27" i="2"/>
  <c r="D16" i="2"/>
  <c r="D15" i="2"/>
  <c r="D14" i="2"/>
  <c r="D13" i="2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5" i="10"/>
  <c r="L27" i="7"/>
  <c r="M27" i="7" s="1"/>
  <c r="M26" i="7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5" i="6"/>
  <c r="Q11" i="6" s="1"/>
  <c r="L41" i="6"/>
  <c r="L42" i="6" s="1"/>
  <c r="I41" i="6"/>
  <c r="I42" i="6" s="1"/>
  <c r="H41" i="6"/>
  <c r="H42" i="6" s="1"/>
  <c r="G41" i="6"/>
  <c r="G42" i="6" s="1"/>
  <c r="F41" i="6"/>
  <c r="F42" i="6" s="1"/>
  <c r="E41" i="6"/>
  <c r="E42" i="6" s="1"/>
  <c r="D26" i="2"/>
  <c r="D25" i="2"/>
  <c r="D24" i="2"/>
  <c r="D23" i="2"/>
  <c r="D22" i="2"/>
  <c r="D21" i="2"/>
  <c r="D20" i="2"/>
  <c r="D19" i="2"/>
  <c r="D18" i="2"/>
  <c r="D17" i="2"/>
  <c r="D12" i="2"/>
  <c r="D11" i="2"/>
  <c r="D10" i="2"/>
  <c r="C22" i="1"/>
  <c r="C16" i="1"/>
  <c r="C21" i="1"/>
  <c r="C28" i="1"/>
  <c r="C15" i="1"/>
  <c r="C10" i="1"/>
  <c r="C13" i="1"/>
  <c r="C3" i="1"/>
  <c r="C12" i="1"/>
  <c r="C7" i="1"/>
  <c r="C17" i="1"/>
  <c r="C6" i="1"/>
  <c r="C11" i="1"/>
  <c r="C19" i="1"/>
  <c r="C9" i="1"/>
  <c r="C14" i="1"/>
  <c r="C4" i="1"/>
  <c r="C8" i="1"/>
  <c r="C20" i="1"/>
  <c r="C18" i="1"/>
  <c r="C5" i="1"/>
  <c r="C27" i="1"/>
  <c r="C29" i="1" s="1"/>
  <c r="P6" i="10" l="1"/>
  <c r="C5" i="8"/>
  <c r="P13" i="10"/>
  <c r="D28" i="2"/>
  <c r="G11" i="2" s="1"/>
  <c r="AA6" i="5"/>
  <c r="Q8" i="6"/>
  <c r="Q10" i="6"/>
  <c r="AA5" i="5"/>
  <c r="P12" i="10"/>
  <c r="C12" i="8"/>
  <c r="C7" i="8"/>
  <c r="AA24" i="5"/>
  <c r="W8" i="5"/>
  <c r="Z8" i="5"/>
  <c r="Q15" i="6"/>
  <c r="AA17" i="5"/>
  <c r="AA9" i="5"/>
  <c r="AA26" i="5"/>
  <c r="AA20" i="5"/>
  <c r="P7" i="10"/>
  <c r="P8" i="10"/>
  <c r="Q6" i="6"/>
  <c r="AA13" i="5"/>
  <c r="P9" i="10"/>
  <c r="C8" i="8"/>
  <c r="Q13" i="6"/>
  <c r="P11" i="10"/>
  <c r="C11" i="8"/>
  <c r="Q9" i="6"/>
  <c r="C13" i="8"/>
  <c r="AA22" i="5"/>
  <c r="C4" i="8"/>
  <c r="B25" i="8" s="1"/>
  <c r="M41" i="6"/>
  <c r="M42" i="6" s="1"/>
  <c r="P14" i="10"/>
  <c r="W24" i="5"/>
  <c r="Q14" i="6"/>
  <c r="W20" i="5"/>
  <c r="AA18" i="5"/>
  <c r="C10" i="8"/>
  <c r="C6" i="8"/>
  <c r="P10" i="10"/>
  <c r="C9" i="8"/>
  <c r="Q7" i="6"/>
  <c r="AA29" i="5"/>
  <c r="AA28" i="5"/>
  <c r="Z27" i="5"/>
  <c r="Z25" i="5"/>
  <c r="Z23" i="5"/>
  <c r="Z21" i="5"/>
  <c r="Z19" i="5"/>
  <c r="Z17" i="5"/>
  <c r="Z15" i="5"/>
  <c r="Z13" i="5"/>
  <c r="Z11" i="5"/>
  <c r="Z9" i="5"/>
  <c r="Z7" i="5"/>
  <c r="Z5" i="5"/>
  <c r="AA4" i="5"/>
  <c r="AA27" i="5"/>
  <c r="AA25" i="5"/>
  <c r="AA23" i="5"/>
  <c r="AA21" i="5"/>
  <c r="AA19" i="5"/>
  <c r="AA15" i="5"/>
  <c r="AA11" i="5"/>
  <c r="AA7" i="5"/>
  <c r="Q12" i="6"/>
  <c r="Z29" i="5"/>
  <c r="Z28" i="5"/>
  <c r="Z26" i="5"/>
  <c r="Z24" i="5"/>
  <c r="Z22" i="5"/>
  <c r="Z20" i="5"/>
  <c r="Z18" i="5"/>
  <c r="Z16" i="5"/>
  <c r="Z14" i="5"/>
  <c r="Z12" i="5"/>
  <c r="Z10" i="5"/>
  <c r="Z6" i="5"/>
  <c r="Z4" i="5"/>
  <c r="AA16" i="5"/>
  <c r="AA14" i="5"/>
  <c r="AA12" i="5"/>
  <c r="AA10" i="5"/>
  <c r="AA8" i="5"/>
  <c r="W13" i="5"/>
  <c r="W6" i="5"/>
  <c r="W29" i="5"/>
  <c r="W9" i="5"/>
  <c r="W26" i="5"/>
  <c r="W22" i="5"/>
  <c r="W18" i="5"/>
  <c r="W5" i="5"/>
  <c r="D27" i="1"/>
  <c r="D29" i="1" s="1"/>
  <c r="D28" i="1"/>
  <c r="B40" i="8" l="1"/>
  <c r="B41" i="8"/>
  <c r="AC43" i="5"/>
  <c r="AD43" i="5" s="1"/>
  <c r="AD13" i="5"/>
  <c r="AD11" i="5"/>
  <c r="AD9" i="5"/>
  <c r="AD7" i="5"/>
  <c r="AD14" i="5"/>
  <c r="AD12" i="5"/>
  <c r="AD10" i="5"/>
  <c r="AD8" i="5"/>
  <c r="AD6" i="5"/>
  <c r="Q16" i="6"/>
  <c r="R8" i="6" s="1"/>
  <c r="C14" i="8"/>
  <c r="D11" i="8" s="1"/>
  <c r="Q21" i="6"/>
  <c r="B26" i="8"/>
  <c r="P21" i="10"/>
  <c r="R13" i="6"/>
  <c r="R7" i="6"/>
  <c r="R6" i="6"/>
  <c r="AC45" i="5"/>
  <c r="AD45" i="5" s="1"/>
  <c r="AC44" i="5"/>
  <c r="AD44" i="5" s="1"/>
  <c r="D13" i="8" l="1"/>
  <c r="C25" i="8"/>
  <c r="B42" i="8"/>
  <c r="C40" i="8" s="1"/>
  <c r="D9" i="8"/>
  <c r="C26" i="8"/>
  <c r="D4" i="8"/>
  <c r="D7" i="8"/>
  <c r="D12" i="8"/>
  <c r="D5" i="8"/>
  <c r="D8" i="8"/>
  <c r="D10" i="8"/>
  <c r="R10" i="6"/>
  <c r="R15" i="6"/>
  <c r="R12" i="6"/>
  <c r="R14" i="6"/>
  <c r="R11" i="6"/>
  <c r="R9" i="6"/>
  <c r="D6" i="8"/>
  <c r="Q8" i="10"/>
  <c r="Q10" i="10"/>
  <c r="Q15" i="10"/>
  <c r="Q14" i="10"/>
  <c r="Q11" i="10"/>
  <c r="Q9" i="10"/>
  <c r="Q6" i="10"/>
  <c r="Q12" i="10"/>
  <c r="Q7" i="10"/>
  <c r="Q13" i="10"/>
  <c r="C41" i="8" l="1"/>
  <c r="D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2" authorId="0" shapeId="0" xr:uid="{626A32AC-7D51-43CF-B94C-C7E2B8E0DA56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F2" authorId="0" shapeId="0" xr:uid="{8F076BAD-6CBF-4474-850E-18A04838DE8A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G2" authorId="0" shapeId="0" xr:uid="{8A3FBFD7-E1AD-44AA-8755-FA90728C095B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I2" authorId="0" shapeId="0" xr:uid="{12004797-B49C-44FD-8F15-BDFEA4C23B4B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J2" authorId="0" shapeId="0" xr:uid="{9ADFCCF9-A17F-418B-A148-662BD9788BE5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K2" authorId="0" shapeId="0" xr:uid="{3DE5EAB4-012F-4006-90EA-0FB654DDE991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M2" authorId="0" shapeId="0" xr:uid="{D288E43B-F8F5-4490-A5DB-16C4E18954D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N2" authorId="0" shapeId="0" xr:uid="{93F0BEC1-477D-41E5-B8FD-DA0171CE3964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O2" authorId="0" shapeId="0" xr:uid="{BA342720-9416-4694-ABA5-D1D0653EA478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Q2" authorId="0" shapeId="0" xr:uid="{520315FF-7DE6-4392-B4DE-D06AB42694A3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R2" authorId="0" shapeId="0" xr:uid="{7F21D12B-773E-4100-BB77-5E1CD4E141B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S2" authorId="0" shapeId="0" xr:uid="{F70DD5F4-26BD-4F54-B712-A1F594288BFE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T2" authorId="0" shapeId="0" xr:uid="{8749A513-F584-4B3F-A609-90C79F12F47D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V2" authorId="0" shapeId="0" xr:uid="{E5921991-22F8-4E80-B202-6BD7DAEF60B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W40" authorId="0" shapeId="0" xr:uid="{EAC97674-1F5F-4A14-8E7A-107782E43F99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C3" authorId="0" shapeId="0" xr:uid="{F8480912-9804-4EED-BAA3-E2EF588AEF04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C4" authorId="0" shapeId="0" xr:uid="{301FBEB3-EC1B-4E05-B1CE-1866E44A794E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C6" authorId="0" shapeId="0" xr:uid="{D1A8E7C8-D942-486F-A290-E20DCF222736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C7" authorId="0" shapeId="0" xr:uid="{A50C0DB5-A448-4F84-AC83-E7F29020A02E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C8" authorId="0" shapeId="0" xr:uid="{9E2CDEA7-3018-483B-9267-A22DC839E5E3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C9" authorId="0" shapeId="0" xr:uid="{62D2CE6D-B54A-484C-9A79-59ADCDEC0207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C10" authorId="0" shapeId="0" xr:uid="{78F36055-1BAB-46E7-91E6-1A9AE1D50B77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C11" authorId="0" shapeId="0" xr:uid="{676C3E96-40D4-45A9-8C9B-9714134D8847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C12" authorId="0" shapeId="0" xr:uid="{098C2FC3-13C5-44FC-81CB-EF7C5E713F1E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C13" authorId="0" shapeId="0" xr:uid="{B0E1AD61-B3E1-42AE-97C6-F2146238DD2A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C14" authorId="0" shapeId="0" xr:uid="{C612DC98-1DA5-43FA-AF86-67B2F978D9AB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C16" authorId="0" shapeId="0" xr:uid="{4CCD2DA2-DAEA-4E13-A2B5-965F846B862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F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G2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I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J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K2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M2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N2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O2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Q2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R2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S2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T2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V2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W29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B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B1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B1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B14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B15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B1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B18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B19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B20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B21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B22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B23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Geometria</t>
        </r>
      </text>
    </comment>
    <comment ref="B24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B25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B27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F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G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H3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I3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L3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M4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  <comment ref="M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Promedio de perdidos por período y materia en porcentaje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F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G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H3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I3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L3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B2" authorId="0" shapeId="0" xr:uid="{610F71A3-065C-4D68-8B59-29D55E40DD04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B3" authorId="0" shapeId="0" xr:uid="{A9505DD3-DC4A-46EC-8C18-86CEE926F54B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B5" authorId="0" shapeId="0" xr:uid="{A2EB2C24-F8E1-4CD1-B72D-82878A91F116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B6" authorId="0" shapeId="0" xr:uid="{1B001835-8F37-4B14-A5F6-CA0332371C38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B7" authorId="0" shapeId="0" xr:uid="{A783454E-9847-4E9B-BA62-C0C331A03602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B8" authorId="0" shapeId="0" xr:uid="{F28E26CE-B193-42D2-80C3-8B4CF9D2AA7A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B9" authorId="0" shapeId="0" xr:uid="{8B3F32E2-F2B4-40ED-8D3E-C25E545A834F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B10" authorId="0" shapeId="0" xr:uid="{0EA56034-5B14-48BF-8E3E-FF64B3C64F6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B11" authorId="0" shapeId="0" xr:uid="{0820F8BD-7107-41C5-A394-46A5DB1AF85B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B12" authorId="0" shapeId="0" xr:uid="{0866D1FE-6B8F-430D-B914-40EA50DFAB98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B13" authorId="0" shapeId="0" xr:uid="{E6454181-78EC-4BBC-8697-9A0CCD54FFA7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B15" authorId="0" shapeId="0" xr:uid="{E7400910-545A-471F-8D94-6149487D9BF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sharedStrings.xml><?xml version="1.0" encoding="utf-8"?>
<sst xmlns="http://schemas.openxmlformats.org/spreadsheetml/2006/main" count="1320" uniqueCount="282">
  <si>
    <t>Nro</t>
  </si>
  <si>
    <t>Matric</t>
  </si>
  <si>
    <t>Nombres Y Apellidos</t>
  </si>
  <si>
    <t>Ciencias Naturales</t>
  </si>
  <si>
    <t>Ciencias De La Investigacion</t>
  </si>
  <si>
    <t>Ciencias Sociales (historia, Geografía, Constitución Política Y Democracia.)</t>
  </si>
  <si>
    <t>Educación Artistica Y Cultural</t>
  </si>
  <si>
    <t>Educacion Etica  Y  En Valores Humanos</t>
  </si>
  <si>
    <t>Educación Física, Recreación Y Deportes</t>
  </si>
  <si>
    <t>Educacion Religiosa</t>
  </si>
  <si>
    <t>Lengua Castellana</t>
  </si>
  <si>
    <t>Idioma Extranjero</t>
  </si>
  <si>
    <t>Lectoescritura</t>
  </si>
  <si>
    <t>Estadistica</t>
  </si>
  <si>
    <t>Matematicas.</t>
  </si>
  <si>
    <t>Informatica</t>
  </si>
  <si>
    <t>Tecnologia</t>
  </si>
  <si>
    <t>Grupo:</t>
  </si>
  <si>
    <t>Director:</t>
  </si>
  <si>
    <t>Ospina Moreno Javier</t>
  </si>
  <si>
    <t>No Aprobados</t>
  </si>
  <si>
    <t>6º-05</t>
  </si>
  <si>
    <t>cantidad de materias</t>
  </si>
  <si>
    <t># de estudiantes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</si>
  <si>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</si>
  <si>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</si>
  <si>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</si>
  <si>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</si>
  <si>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</si>
  <si>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</si>
  <si>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</si>
  <si>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</si>
  <si>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</si>
  <si>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</si>
  <si>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</si>
  <si>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</si>
  <si>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</si>
  <si>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</si>
  <si>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</si>
  <si>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</si>
  <si>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</si>
  <si>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</si>
  <si>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</si>
  <si>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</si>
  <si>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Obbservación</t>
  </si>
  <si>
    <t>Aprobando</t>
  </si>
  <si>
    <t>Reprobando</t>
  </si>
  <si>
    <t>%</t>
  </si>
  <si>
    <t>Total Estudiantes</t>
  </si>
  <si>
    <t>X</t>
  </si>
  <si>
    <t>MATERIA</t>
  </si>
  <si>
    <t>Estudiante:</t>
  </si>
  <si>
    <t>INSTITUCION EDUCATIVA ANGELA RESTREPO MORENO</t>
  </si>
  <si>
    <t>Codigo:</t>
  </si>
  <si>
    <t>Materias que van perdiendo hasta el momento</t>
  </si>
  <si>
    <t>100009</t>
  </si>
  <si>
    <t xml:space="preserve">AGUDELO HERNANDEZ PAULINA </t>
  </si>
  <si>
    <t>140201</t>
  </si>
  <si>
    <t xml:space="preserve">ARANGO MADRID  ANDERSON  </t>
  </si>
  <si>
    <t>140035</t>
  </si>
  <si>
    <t xml:space="preserve">BEDOYA PEREZ MARIA  ESTEFANIA </t>
  </si>
  <si>
    <t>080095</t>
  </si>
  <si>
    <t>BENITEZ GALLO YHOJAN ESLY</t>
  </si>
  <si>
    <t>140210</t>
  </si>
  <si>
    <t xml:space="preserve">BERRIO  PEREZ VANESA </t>
  </si>
  <si>
    <t>120301</t>
  </si>
  <si>
    <t>BLANDON RAMIREZ JUAN JOSE</t>
  </si>
  <si>
    <t>160105</t>
  </si>
  <si>
    <t>CAICEDO  QUINTERO KAREN DAYANA</t>
  </si>
  <si>
    <t>090171</t>
  </si>
  <si>
    <t xml:space="preserve">CASTAÑO GARRO VALENTIN </t>
  </si>
  <si>
    <t>160079</t>
  </si>
  <si>
    <t>CASTAÑO  HERRERA MICHELLE DAYANA</t>
  </si>
  <si>
    <t>150164</t>
  </si>
  <si>
    <t xml:space="preserve">CHAVERRA MARULANDA YOJAN </t>
  </si>
  <si>
    <t>160238</t>
  </si>
  <si>
    <t xml:space="preserve">ECHAVARRIA AGUDELO ESTEFANIA </t>
  </si>
  <si>
    <t>120385</t>
  </si>
  <si>
    <t xml:space="preserve">ESPINOSA QUIRAMA MANUELA </t>
  </si>
  <si>
    <t>110174</t>
  </si>
  <si>
    <t>GARCIA BUITRAGO KEVIN ANDRES</t>
  </si>
  <si>
    <t>140234</t>
  </si>
  <si>
    <t>GIL  AGUIRRE YANCELLY FERNANDA</t>
  </si>
  <si>
    <t>120478</t>
  </si>
  <si>
    <t xml:space="preserve">GONZALEZ GAVIRIA VALENTINA </t>
  </si>
  <si>
    <t>150692</t>
  </si>
  <si>
    <t>GONZALEZ MARIN NATALIA ANDREA</t>
  </si>
  <si>
    <t>150248</t>
  </si>
  <si>
    <t xml:space="preserve">GUTIERREZ CASTAÑO YEFERSON </t>
  </si>
  <si>
    <t>140060</t>
  </si>
  <si>
    <t xml:space="preserve">HOYOS  MUÑOZ  SARA  MICHELLE </t>
  </si>
  <si>
    <t>130508</t>
  </si>
  <si>
    <t xml:space="preserve">MENESES HERRERA JUNIOR </t>
  </si>
  <si>
    <t>120375</t>
  </si>
  <si>
    <t xml:space="preserve">MUÑOZ JARAMILLO DARNELLY </t>
  </si>
  <si>
    <t>160215</t>
  </si>
  <si>
    <t xml:space="preserve">MUÑOZ ZAPATA CAROLINA </t>
  </si>
  <si>
    <t>150093</t>
  </si>
  <si>
    <t>MURILLO GRACIANO CARLOS DANIEL</t>
  </si>
  <si>
    <t>150092</t>
  </si>
  <si>
    <t xml:space="preserve">MURILLO  GRACIANO VALENTINA </t>
  </si>
  <si>
    <t>140290</t>
  </si>
  <si>
    <t xml:space="preserve">MURILLO HERNANDEZ FERNEY </t>
  </si>
  <si>
    <t>140028</t>
  </si>
  <si>
    <t>PARRA SANTAMARIA JUAN  ALEJANDRO</t>
  </si>
  <si>
    <t>090636</t>
  </si>
  <si>
    <t>PULGARIN AGUIRRE BENJHE ALEJANDRO</t>
  </si>
  <si>
    <t>080635</t>
  </si>
  <si>
    <t>QUIROZ ZAPATA DARWIN STIWAR</t>
  </si>
  <si>
    <t>140066</t>
  </si>
  <si>
    <t xml:space="preserve">RESTREPO GARCIA  LUISA  FERNANDA </t>
  </si>
  <si>
    <t>160144</t>
  </si>
  <si>
    <t>ROJAS FONTALVO ANGELA ELIZABETH</t>
  </si>
  <si>
    <t>140052</t>
  </si>
  <si>
    <t>ROJAS LONDOÑO KEVIN  ALEJANDRO</t>
  </si>
  <si>
    <t>130257</t>
  </si>
  <si>
    <t>SERNA BUILES DANIEL SEBASTIAN</t>
  </si>
  <si>
    <t>090792</t>
  </si>
  <si>
    <t>SUAREZ VILLARREAL LAUREN TATIANA</t>
  </si>
  <si>
    <t>120388</t>
  </si>
  <si>
    <t xml:space="preserve">TABARES OSPINA YOSSELIN </t>
  </si>
  <si>
    <t>160043</t>
  </si>
  <si>
    <t xml:space="preserve">TUBERQUIA  AYALA  CRISTIAN  ESTIVEN </t>
  </si>
  <si>
    <t>160049</t>
  </si>
  <si>
    <t xml:space="preserve">VANEGAS  VERGARA SOFIA </t>
  </si>
  <si>
    <t>Tecnologia e Informatica</t>
  </si>
  <si>
    <t>Area Humanidades</t>
  </si>
  <si>
    <t>Area de Ciencias</t>
  </si>
  <si>
    <t>Area de Matematicas</t>
  </si>
  <si>
    <t>Area de Humanidades</t>
  </si>
  <si>
    <t>Area de Tecnología e Informatica</t>
  </si>
  <si>
    <t>Area de Metemáticas</t>
  </si>
  <si>
    <t>Marematicas</t>
  </si>
  <si>
    <t># de Areas</t>
  </si>
  <si>
    <t>Areas Reprobadas</t>
  </si>
  <si>
    <t>Educacion Religiosa Y Etica</t>
  </si>
  <si>
    <t># Areas</t>
  </si>
  <si>
    <t># Estudiantes</t>
  </si>
  <si>
    <t>Cero areas</t>
  </si>
  <si>
    <t>una o más</t>
  </si>
  <si>
    <t>170100</t>
  </si>
  <si>
    <t>170086</t>
  </si>
  <si>
    <t>080057</t>
  </si>
  <si>
    <t>090076</t>
  </si>
  <si>
    <t>100050</t>
  </si>
  <si>
    <t>150244</t>
  </si>
  <si>
    <t>150057</t>
  </si>
  <si>
    <t>170214</t>
  </si>
  <si>
    <t>170285</t>
  </si>
  <si>
    <t>170102</t>
  </si>
  <si>
    <t>100125</t>
  </si>
  <si>
    <t>150688</t>
  </si>
  <si>
    <t>140392</t>
  </si>
  <si>
    <t>140359</t>
  </si>
  <si>
    <t>100171</t>
  </si>
  <si>
    <t>120228</t>
  </si>
  <si>
    <t>090363</t>
  </si>
  <si>
    <t>170228</t>
  </si>
  <si>
    <t>130388</t>
  </si>
  <si>
    <t>140335</t>
  </si>
  <si>
    <t>140336</t>
  </si>
  <si>
    <t>130284</t>
  </si>
  <si>
    <t>170097</t>
  </si>
  <si>
    <t>170259</t>
  </si>
  <si>
    <t>120453</t>
  </si>
  <si>
    <t>Historia de Colombia</t>
  </si>
  <si>
    <t>Historia Colombia</t>
  </si>
  <si>
    <t>Sociales</t>
  </si>
  <si>
    <t>COMPUESTAS</t>
  </si>
  <si>
    <t>SIMPLES</t>
  </si>
  <si>
    <t>OBSERVACION</t>
  </si>
  <si>
    <t>Quedan con logros pendientes</t>
  </si>
  <si>
    <t>Fa</t>
  </si>
  <si>
    <t>Fr</t>
  </si>
  <si>
    <t>Tu año esta en riesgo de perderse</t>
  </si>
  <si>
    <t>Total estudiantes</t>
  </si>
  <si>
    <t>Cantidad Estudiantes</t>
  </si>
  <si>
    <t>Pasan directos a Octavo</t>
  </si>
  <si>
    <t>Superior</t>
  </si>
  <si>
    <t>Alta</t>
  </si>
  <si>
    <t>Basico</t>
  </si>
  <si>
    <t>Bajo</t>
  </si>
  <si>
    <t>Cantidad</t>
  </si>
  <si>
    <t>Calificación</t>
  </si>
  <si>
    <t>NOTAS</t>
  </si>
  <si>
    <t>8º-01</t>
  </si>
  <si>
    <t>Grado 8º-01</t>
  </si>
  <si>
    <t>ACEVEDO JUAN ESTEBAN</t>
  </si>
  <si>
    <t>Acevedo Marin Maria Alejandra</t>
  </si>
  <si>
    <t>Aguilera Navs  Luis Carlos Enrique</t>
  </si>
  <si>
    <t>Altamar Matos Yexibel Zair</t>
  </si>
  <si>
    <t xml:space="preserve">Atencio Avila Neiro Luis </t>
  </si>
  <si>
    <t>Ayala Florez Margarita María</t>
  </si>
  <si>
    <t>BlandonTapias  Emmanuel</t>
  </si>
  <si>
    <t>Busto Semeco Valeria de los Angeles</t>
  </si>
  <si>
    <t>Caldera Rivas Bryan Alejandro</t>
  </si>
  <si>
    <t>Cardona Arango Matias</t>
  </si>
  <si>
    <t>Carmona Torres Simón</t>
  </si>
  <si>
    <t>Castaño Arboleda Isabella</t>
  </si>
  <si>
    <t>CASTELLANOS BLANCO GUADALUPE</t>
  </si>
  <si>
    <t>Chaparro Zarza Danna Fernanda</t>
  </si>
  <si>
    <t>Florez Alvarez Manuela</t>
  </si>
  <si>
    <t>Florez Gomez Santiago</t>
  </si>
  <si>
    <t>GALLEGO RUIZ SAMUEL</t>
  </si>
  <si>
    <t xml:space="preserve">García F Miguel </t>
  </si>
  <si>
    <t>Garcia Velez Michell</t>
  </si>
  <si>
    <t>Gomez Osorio Jeifer Santiago</t>
  </si>
  <si>
    <t>Guzman Guisao Manuela</t>
  </si>
  <si>
    <t>Guzman Henao Maria jose</t>
  </si>
  <si>
    <t>Mejia Holguin Geraldin</t>
  </si>
  <si>
    <t>Mosquera Muñoz Luis Angel</t>
  </si>
  <si>
    <t>Ospina Muñoz Maria jose</t>
  </si>
  <si>
    <t>Perez  Sanchez Maria Fernanda</t>
  </si>
  <si>
    <t>Perez Loaiza Matias</t>
  </si>
  <si>
    <t>Rodriguez Florez Paula Andrea</t>
  </si>
  <si>
    <t>Rojo Echeverri Juliana</t>
  </si>
  <si>
    <t>Ruiz Ospina Carolina</t>
  </si>
  <si>
    <t>Ruiz Vera Sara Marian</t>
  </si>
  <si>
    <t>Tamayo Amariles Mateo</t>
  </si>
  <si>
    <t>VASQUEZ ALCANTARÁ EOSIBEL VICTORIA</t>
  </si>
  <si>
    <t>ZAPATA CORTES MIGUEL ANGEL</t>
  </si>
  <si>
    <t>x</t>
  </si>
  <si>
    <t>Betancur Guitierrez Ximena</t>
  </si>
  <si>
    <t>FRANCO SANCHEZ ALEJANDRA</t>
  </si>
  <si>
    <t>Materias</t>
  </si>
  <si>
    <t>Areas</t>
  </si>
  <si>
    <t>MATERIAS</t>
  </si>
  <si>
    <t># DE ESTUDIANTES</t>
  </si>
  <si>
    <t>TOTAL</t>
  </si>
  <si>
    <t>Item</t>
  </si>
  <si>
    <t>No tienen logros pendiente</t>
  </si>
  <si>
    <t>Tienen logros pendientes</t>
  </si>
  <si>
    <t>NOMBRES</t>
  </si>
  <si>
    <t>MATERIAS CON LOGROS PENDIETES</t>
  </si>
  <si>
    <t>AYALA FLOREZ MARGARITA MARÍA</t>
  </si>
  <si>
    <t>CALDERA RIVAS BRAYAN ALEJANDRO</t>
  </si>
  <si>
    <t>CARDONA ARANGO MATÍAS</t>
  </si>
  <si>
    <t>FLOREZ GOMEZ SANTIAGO</t>
  </si>
  <si>
    <t>MEJIA HOLGUIN GERALDIN</t>
  </si>
  <si>
    <t>RUIZ OSPINA CAROLINA</t>
  </si>
  <si>
    <r>
      <rPr>
        <sz val="8"/>
        <color rgb="FF000000"/>
        <rFont val="Arial"/>
      </rPr>
      <t xml:space="preserve">ALANDETE CORREA MARIANGEL </t>
    </r>
  </si>
  <si>
    <r>
      <rPr>
        <sz val="8"/>
        <color rgb="FF000000"/>
        <rFont val="Arial"/>
      </rPr>
      <t>ALEAN LENIS SALOME FERNANDA</t>
    </r>
  </si>
  <si>
    <r>
      <rPr>
        <sz val="8"/>
        <color rgb="FF000000"/>
        <rFont val="Arial"/>
      </rPr>
      <t xml:space="preserve">ALMANZA SANCHEZ NICOLAS </t>
    </r>
  </si>
  <si>
    <r>
      <rPr>
        <sz val="8"/>
        <color rgb="FF000000"/>
        <rFont val="Arial"/>
      </rPr>
      <t>AMAYA PEREZ LEANNY ANTHONELLA</t>
    </r>
  </si>
  <si>
    <r>
      <rPr>
        <sz val="8"/>
        <color rgb="FF000000"/>
        <rFont val="Arial"/>
      </rPr>
      <t xml:space="preserve">ARCIA MARTINEZ STEFANNY </t>
    </r>
  </si>
  <si>
    <r>
      <rPr>
        <sz val="8"/>
        <color rgb="FF000000"/>
        <rFont val="Arial"/>
      </rPr>
      <t>ARISTIZABAL BLANDON LAURA VALENTINA</t>
    </r>
  </si>
  <si>
    <r>
      <rPr>
        <sz val="8"/>
        <color rgb="FF000000"/>
        <rFont val="Arial"/>
      </rPr>
      <t xml:space="preserve">CARDENAS RAMIREZ LUCIANA </t>
    </r>
  </si>
  <si>
    <r>
      <rPr>
        <sz val="8"/>
        <color rgb="FF000000"/>
        <rFont val="Arial"/>
      </rPr>
      <t>CONTRERAS MENDEZ DAILY GABRIELA</t>
    </r>
  </si>
  <si>
    <r>
      <rPr>
        <sz val="8"/>
        <color rgb="FF000000"/>
        <rFont val="Arial"/>
      </rPr>
      <t xml:space="preserve">JARAMILLO CARDONA SALOME </t>
    </r>
  </si>
  <si>
    <r>
      <rPr>
        <sz val="8"/>
        <color rgb="FF000000"/>
        <rFont val="Arial"/>
      </rPr>
      <t xml:space="preserve">JIMENEZ BEDOYA VALERY </t>
    </r>
  </si>
  <si>
    <r>
      <rPr>
        <sz val="8"/>
        <color rgb="FF000000"/>
        <rFont val="Arial"/>
      </rPr>
      <t xml:space="preserve">JIMENEZ TORRES YUSNEILY </t>
    </r>
  </si>
  <si>
    <r>
      <rPr>
        <sz val="8"/>
        <color rgb="FF000000"/>
        <rFont val="Arial"/>
      </rPr>
      <t>MONTES ARBOLEDA VALERY SOFIA</t>
    </r>
  </si>
  <si>
    <r>
      <rPr>
        <sz val="8"/>
        <color rgb="FF000000"/>
        <rFont val="Arial"/>
      </rPr>
      <t xml:space="preserve">MOSQUERA MUÑOZ LUCIANA </t>
    </r>
  </si>
  <si>
    <r>
      <rPr>
        <sz val="8"/>
        <color rgb="FF000000"/>
        <rFont val="Arial"/>
      </rPr>
      <t xml:space="preserve">ORTIZ LOAIZA ASHLY </t>
    </r>
  </si>
  <si>
    <r>
      <rPr>
        <sz val="8"/>
        <color rgb="FF000000"/>
        <rFont val="Arial"/>
      </rPr>
      <t>OSORNO MONTES ALBEIRO ANTONIO</t>
    </r>
  </si>
  <si>
    <r>
      <rPr>
        <sz val="8"/>
        <color rgb="FF000000"/>
        <rFont val="Arial"/>
      </rPr>
      <t>PAZ MANSILLA ELIANNY YOLIMAR</t>
    </r>
  </si>
  <si>
    <r>
      <rPr>
        <sz val="8"/>
        <color rgb="FF000000"/>
        <rFont val="Arial"/>
      </rPr>
      <t xml:space="preserve">QUICENO MUÑOZ SALOME </t>
    </r>
  </si>
  <si>
    <r>
      <rPr>
        <sz val="8"/>
        <color rgb="FF000000"/>
        <rFont val="Arial"/>
      </rPr>
      <t>RENDON MADERA JUAN JOSE</t>
    </r>
  </si>
  <si>
    <r>
      <rPr>
        <sz val="8"/>
        <color rgb="FF000000"/>
        <rFont val="Arial"/>
      </rPr>
      <t>RIVERA RIVERA ANGEL DAVID</t>
    </r>
  </si>
  <si>
    <r>
      <rPr>
        <sz val="8"/>
        <color rgb="FF000000"/>
        <rFont val="Arial"/>
      </rPr>
      <t>TABORDA SEPULVEDA JUAN DAVID</t>
    </r>
  </si>
  <si>
    <r>
      <rPr>
        <sz val="8"/>
        <color rgb="FF000000"/>
        <rFont val="Arial"/>
      </rPr>
      <t xml:space="preserve">TABORDA TABORDA VALENTINA </t>
    </r>
  </si>
  <si>
    <r>
      <rPr>
        <sz val="8"/>
        <color rgb="FF000000"/>
        <rFont val="Arial"/>
      </rPr>
      <t>VARGAS ORTIZ MARIA ISABEL</t>
    </r>
  </si>
  <si>
    <r>
      <rPr>
        <sz val="8"/>
        <color rgb="FF000000"/>
        <rFont val="Arial"/>
      </rPr>
      <t xml:space="preserve">VELEZ CARDONA ISABELLA </t>
    </r>
  </si>
  <si>
    <r>
      <rPr>
        <sz val="8"/>
        <color rgb="FF000000"/>
        <rFont val="Arial"/>
      </rPr>
      <t>ZAPATA GALLEGO MARIA CAMILA</t>
    </r>
  </si>
  <si>
    <r>
      <rPr>
        <sz val="8"/>
        <color rgb="FF000000"/>
        <rFont val="Arial"/>
      </rPr>
      <t xml:space="preserve">ZAPATA HENAO SOFIA </t>
    </r>
  </si>
  <si>
    <t xml:space="preserve"> </t>
  </si>
  <si>
    <r>
      <rPr>
        <sz val="8"/>
        <color rgb="FF000000"/>
        <rFont val="Arial"/>
      </rPr>
      <t>OÑATE CABRERA ABRAHAN DAVID</t>
    </r>
  </si>
  <si>
    <r>
      <rPr>
        <sz val="8"/>
        <color rgb="FF000000"/>
        <rFont val="Arial"/>
      </rPr>
      <t>ARISTIZABAL BLANDON LAURA BALENTINA</t>
    </r>
  </si>
  <si>
    <r>
      <rPr>
        <sz val="8"/>
        <color rgb="FF000000"/>
        <rFont val="Arial"/>
      </rPr>
      <t>CANO SALAZAR JUAN MANUEL</t>
    </r>
  </si>
  <si>
    <r>
      <rPr>
        <sz val="8"/>
        <color rgb="FF000000"/>
        <rFont val="Arial"/>
      </rPr>
      <t>FLOREZ USMA MARIA SALOME</t>
    </r>
  </si>
  <si>
    <r>
      <rPr>
        <sz val="8"/>
        <color rgb="FF000000"/>
        <rFont val="Arial"/>
      </rPr>
      <t>GARCIA VALLEJO JHORDIN SEBASTIAN</t>
    </r>
  </si>
  <si>
    <t>INFORME   FINAL II PERIODO 25/08/2025</t>
  </si>
  <si>
    <t xml:space="preserve">ALMANZA SANCHEZ NICOLAS </t>
  </si>
  <si>
    <t xml:space="preserve">DUQUE JARAMILLO EMANUEL </t>
  </si>
  <si>
    <t xml:space="preserve">JIMENEZ BEDOYA VALERY </t>
  </si>
  <si>
    <t>JIMENEZ TORRES YUSNEILY FERNANDA</t>
  </si>
  <si>
    <t xml:space="preserve">MOSQUERA MUÑOZ LUCIANA </t>
  </si>
  <si>
    <t>PAZ MANSILLA ELIANNY YOLIMAR</t>
  </si>
  <si>
    <t>SANCHEZ PACHECO ANA ISABELLA</t>
  </si>
  <si>
    <t>VARGAS ORTIZ MARIA ISABEL</t>
  </si>
  <si>
    <t xml:space="preserve">VELEZ CARDONA ISABELLA </t>
  </si>
  <si>
    <t>ZAPATA GALLEGO MARIA CAMILA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</si>
</sst>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44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4"/>
      <color rgb="FF000000"/>
      <name val="Calisto MT"/>
      <family val="1"/>
    </font>
    <font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8"/>
      <color rgb="FF000000"/>
      <name val="Arial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rgb="FFF9E8E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/>
    <xf numFmtId="0" fontId="2" fillId="0" borderId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5">
    <xf numFmtId="0" fontId="0" fillId="0" borderId="0" xfId="0"/>
    <xf numFmtId="0" fontId="14" fillId="0" borderId="1" xfId="0" applyFont="1" applyBorder="1" applyAlignment="1">
      <alignment vertical="top"/>
    </xf>
    <xf numFmtId="0" fontId="15" fillId="0" borderId="2" xfId="0" applyFont="1" applyBorder="1"/>
    <xf numFmtId="0" fontId="15" fillId="0" borderId="3" xfId="0" applyFont="1" applyBorder="1" applyAlignment="1">
      <alignment horizontal="center" vertical="center"/>
    </xf>
    <xf numFmtId="9" fontId="15" fillId="0" borderId="4" xfId="0" applyNumberFormat="1" applyFont="1" applyBorder="1" applyAlignment="1">
      <alignment textRotation="90"/>
    </xf>
    <xf numFmtId="0" fontId="16" fillId="0" borderId="5" xfId="0" applyFont="1" applyBorder="1"/>
    <xf numFmtId="0" fontId="0" fillId="0" borderId="6" xfId="0" applyBorder="1"/>
    <xf numFmtId="49" fontId="13" fillId="0" borderId="7" xfId="0" applyNumberFormat="1" applyFont="1" applyBorder="1" applyAlignment="1">
      <alignment horizontal="center" vertical="top"/>
    </xf>
    <xf numFmtId="0" fontId="13" fillId="0" borderId="8" xfId="0" applyFont="1" applyBorder="1"/>
    <xf numFmtId="0" fontId="13" fillId="0" borderId="9" xfId="0" applyFont="1" applyBorder="1"/>
    <xf numFmtId="0" fontId="0" fillId="0" borderId="10" xfId="0" applyBorder="1"/>
    <xf numFmtId="0" fontId="0" fillId="0" borderId="11" xfId="0" applyBorder="1"/>
    <xf numFmtId="9" fontId="12" fillId="0" borderId="12" xfId="8" applyFont="1" applyBorder="1"/>
    <xf numFmtId="0" fontId="0" fillId="0" borderId="13" xfId="0" applyBorder="1"/>
    <xf numFmtId="0" fontId="0" fillId="0" borderId="14" xfId="0" applyBorder="1"/>
    <xf numFmtId="9" fontId="12" fillId="0" borderId="15" xfId="8" applyFont="1" applyBorder="1"/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0" fillId="0" borderId="4" xfId="0" applyBorder="1"/>
    <xf numFmtId="0" fontId="0" fillId="0" borderId="19" xfId="0" applyBorder="1"/>
    <xf numFmtId="9" fontId="12" fillId="0" borderId="20" xfId="8" applyFont="1" applyBorder="1"/>
    <xf numFmtId="49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5" xfId="0" applyFill="1" applyBorder="1"/>
    <xf numFmtId="0" fontId="0" fillId="2" borderId="23" xfId="0" applyFill="1" applyBorder="1"/>
    <xf numFmtId="0" fontId="13" fillId="2" borderId="24" xfId="0" applyFont="1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13" fillId="2" borderId="24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49" fontId="17" fillId="2" borderId="24" xfId="0" applyNumberFormat="1" applyFont="1" applyFill="1" applyBorder="1" applyAlignment="1">
      <alignment horizontal="center" vertical="top"/>
    </xf>
    <xf numFmtId="0" fontId="15" fillId="0" borderId="30" xfId="0" applyFont="1" applyBorder="1"/>
    <xf numFmtId="0" fontId="0" fillId="2" borderId="29" xfId="0" applyFill="1" applyBorder="1" applyAlignment="1" applyProtection="1">
      <alignment horizontal="center"/>
      <protection locked="0"/>
    </xf>
    <xf numFmtId="0" fontId="0" fillId="0" borderId="31" xfId="0" applyBorder="1"/>
    <xf numFmtId="0" fontId="17" fillId="0" borderId="2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3" fillId="0" borderId="32" xfId="4" applyFont="1" applyBorder="1" applyAlignment="1" applyProtection="1">
      <alignment vertical="top" wrapText="1" readingOrder="1"/>
      <protection locked="0"/>
    </xf>
    <xf numFmtId="0" fontId="4" fillId="0" borderId="31" xfId="0" applyFont="1" applyBorder="1" applyAlignment="1" applyProtection="1">
      <alignment vertical="top" wrapText="1" readingOrder="1"/>
      <protection locked="0"/>
    </xf>
    <xf numFmtId="0" fontId="4" fillId="0" borderId="31" xfId="0" applyFont="1" applyBorder="1" applyAlignment="1" applyProtection="1">
      <alignment horizontal="right" vertical="top" wrapText="1" readingOrder="1"/>
      <protection locked="0"/>
    </xf>
    <xf numFmtId="0" fontId="18" fillId="0" borderId="29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5" fillId="0" borderId="34" xfId="0" applyFont="1" applyBorder="1" applyAlignment="1" applyProtection="1">
      <alignment horizontal="center" vertical="top" wrapText="1" readingOrder="1"/>
      <protection locked="0"/>
    </xf>
    <xf numFmtId="0" fontId="5" fillId="0" borderId="35" xfId="0" applyFont="1" applyBorder="1" applyAlignment="1" applyProtection="1">
      <alignment horizontal="center" vertical="top" wrapText="1" readingOrder="1"/>
      <protection locked="0"/>
    </xf>
    <xf numFmtId="0" fontId="5" fillId="0" borderId="36" xfId="0" applyFont="1" applyBorder="1" applyAlignment="1" applyProtection="1">
      <alignment horizontal="center" vertical="top" wrapText="1" readingOrder="1"/>
      <protection locked="0"/>
    </xf>
    <xf numFmtId="0" fontId="5" fillId="0" borderId="37" xfId="0" applyFont="1" applyBorder="1" applyAlignment="1" applyProtection="1">
      <alignment horizontal="center" vertical="top" wrapText="1" readingOrder="1"/>
      <protection locked="0"/>
    </xf>
    <xf numFmtId="0" fontId="5" fillId="0" borderId="38" xfId="0" applyFont="1" applyBorder="1" applyAlignment="1" applyProtection="1">
      <alignment horizontal="center" vertical="top" wrapText="1" readingOrder="1"/>
      <protection locked="0"/>
    </xf>
    <xf numFmtId="0" fontId="5" fillId="0" borderId="39" xfId="0" applyFont="1" applyBorder="1" applyAlignment="1" applyProtection="1">
      <alignment horizontal="center" vertical="top" wrapText="1" readingOrder="1"/>
      <protection locked="0"/>
    </xf>
    <xf numFmtId="0" fontId="3" fillId="0" borderId="0" xfId="4" applyFont="1" applyAlignment="1" applyProtection="1">
      <alignment vertical="top" wrapText="1" readingOrder="1"/>
      <protection locked="0"/>
    </xf>
    <xf numFmtId="0" fontId="0" fillId="0" borderId="27" xfId="0" applyBorder="1"/>
    <xf numFmtId="0" fontId="17" fillId="3" borderId="40" xfId="0" applyFont="1" applyFill="1" applyBorder="1" applyAlignment="1">
      <alignment vertical="center" textRotation="90" wrapText="1"/>
    </xf>
    <xf numFmtId="0" fontId="6" fillId="0" borderId="32" xfId="4" applyFont="1" applyBorder="1" applyAlignment="1" applyProtection="1">
      <alignment horizontal="center" vertical="center" wrapText="1" readingOrder="1"/>
      <protection locked="0"/>
    </xf>
    <xf numFmtId="49" fontId="0" fillId="0" borderId="0" xfId="0" applyNumberFormat="1" applyAlignment="1">
      <alignment horizontal="center"/>
    </xf>
    <xf numFmtId="9" fontId="12" fillId="0" borderId="0" xfId="8" applyFont="1"/>
    <xf numFmtId="0" fontId="19" fillId="0" borderId="0" xfId="0" applyFont="1"/>
    <xf numFmtId="165" fontId="12" fillId="3" borderId="41" xfId="1" applyFont="1" applyFill="1" applyBorder="1" applyAlignment="1">
      <alignment horizontal="center" vertical="center"/>
    </xf>
    <xf numFmtId="165" fontId="12" fillId="4" borderId="41" xfId="1" applyFont="1" applyFill="1" applyBorder="1" applyAlignment="1">
      <alignment horizontal="center" vertical="center"/>
    </xf>
    <xf numFmtId="165" fontId="12" fillId="5" borderId="41" xfId="1" applyFont="1" applyFill="1" applyBorder="1" applyAlignment="1">
      <alignment horizontal="center" vertical="center"/>
    </xf>
    <xf numFmtId="165" fontId="12" fillId="6" borderId="41" xfId="1" applyFont="1" applyFill="1" applyBorder="1" applyAlignment="1">
      <alignment horizontal="center" vertical="center"/>
    </xf>
    <xf numFmtId="165" fontId="12" fillId="7" borderId="41" xfId="1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/>
    </xf>
    <xf numFmtId="0" fontId="4" fillId="0" borderId="31" xfId="0" applyFont="1" applyBorder="1" applyAlignment="1">
      <alignment vertical="top" wrapText="1" readingOrder="1"/>
    </xf>
    <xf numFmtId="0" fontId="5" fillId="0" borderId="31" xfId="0" applyFont="1" applyBorder="1" applyAlignment="1">
      <alignment vertical="center" wrapText="1" readingOrder="1"/>
    </xf>
    <xf numFmtId="0" fontId="21" fillId="0" borderId="2" xfId="0" applyFont="1" applyBorder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3" fillId="0" borderId="53" xfId="0" applyFont="1" applyBorder="1" applyAlignment="1" applyProtection="1">
      <alignment horizontal="center" vertical="center" wrapText="1" readingOrder="1"/>
      <protection locked="0"/>
    </xf>
    <xf numFmtId="0" fontId="3" fillId="0" borderId="54" xfId="0" applyFont="1" applyBorder="1" applyAlignment="1" applyProtection="1">
      <alignment horizontal="center" vertical="center" wrapText="1" readingOrder="1"/>
      <protection locked="0"/>
    </xf>
    <xf numFmtId="165" fontId="12" fillId="8" borderId="41" xfId="1" applyFont="1" applyFill="1" applyBorder="1" applyAlignment="1">
      <alignment horizontal="center" vertical="center"/>
    </xf>
    <xf numFmtId="0" fontId="0" fillId="9" borderId="0" xfId="0" applyFill="1"/>
    <xf numFmtId="0" fontId="5" fillId="2" borderId="31" xfId="0" applyFont="1" applyFill="1" applyBorder="1" applyAlignment="1">
      <alignment vertical="center" wrapText="1" readingOrder="1"/>
    </xf>
    <xf numFmtId="0" fontId="0" fillId="2" borderId="0" xfId="0" applyFill="1"/>
    <xf numFmtId="0" fontId="21" fillId="0" borderId="51" xfId="0" applyFont="1" applyBorder="1"/>
    <xf numFmtId="0" fontId="8" fillId="0" borderId="52" xfId="0" applyFont="1" applyBorder="1" applyAlignment="1">
      <alignment horizontal="center" vertical="top" wrapText="1" readingOrder="1"/>
    </xf>
    <xf numFmtId="0" fontId="0" fillId="0" borderId="29" xfId="0" applyBorder="1"/>
    <xf numFmtId="0" fontId="0" fillId="2" borderId="31" xfId="0" applyFill="1" applyBorder="1"/>
    <xf numFmtId="9" fontId="12" fillId="2" borderId="31" xfId="8" applyFont="1" applyFill="1" applyBorder="1" applyProtection="1"/>
    <xf numFmtId="49" fontId="0" fillId="2" borderId="0" xfId="0" applyNumberFormat="1" applyFill="1"/>
    <xf numFmtId="49" fontId="0" fillId="2" borderId="31" xfId="0" applyNumberFormat="1" applyFill="1" applyBorder="1"/>
    <xf numFmtId="0" fontId="13" fillId="2" borderId="31" xfId="0" applyFont="1" applyFill="1" applyBorder="1" applyAlignment="1">
      <alignment horizontal="center"/>
    </xf>
    <xf numFmtId="0" fontId="22" fillId="3" borderId="40" xfId="0" applyFont="1" applyFill="1" applyBorder="1" applyAlignment="1">
      <alignment vertical="center" textRotation="90" wrapText="1"/>
    </xf>
    <xf numFmtId="0" fontId="24" fillId="3" borderId="40" xfId="0" applyFont="1" applyFill="1" applyBorder="1" applyAlignment="1">
      <alignment vertical="center" textRotation="90" wrapText="1"/>
    </xf>
    <xf numFmtId="0" fontId="0" fillId="0" borderId="57" xfId="0" applyBorder="1"/>
    <xf numFmtId="9" fontId="0" fillId="0" borderId="57" xfId="8" applyFont="1" applyBorder="1"/>
    <xf numFmtId="0" fontId="13" fillId="0" borderId="57" xfId="0" applyFont="1" applyBorder="1" applyAlignment="1">
      <alignment horizontal="center"/>
    </xf>
    <xf numFmtId="0" fontId="27" fillId="11" borderId="29" xfId="0" applyFont="1" applyFill="1" applyBorder="1" applyAlignment="1">
      <alignment horizontal="center"/>
    </xf>
    <xf numFmtId="0" fontId="25" fillId="2" borderId="4" xfId="0" applyFont="1" applyFill="1" applyBorder="1"/>
    <xf numFmtId="0" fontId="26" fillId="2" borderId="20" xfId="0" applyFont="1" applyFill="1" applyBorder="1"/>
    <xf numFmtId="0" fontId="11" fillId="3" borderId="29" xfId="6" applyFont="1" applyFill="1" applyBorder="1" applyAlignment="1">
      <alignment horizontal="center" vertical="center" textRotation="90"/>
    </xf>
    <xf numFmtId="0" fontId="23" fillId="10" borderId="29" xfId="6" applyFont="1" applyFill="1" applyBorder="1" applyAlignment="1">
      <alignment horizontal="center" vertical="center" textRotation="90"/>
    </xf>
    <xf numFmtId="0" fontId="11" fillId="0" borderId="29" xfId="6" applyFont="1" applyBorder="1" applyAlignment="1">
      <alignment horizontal="center" vertical="center" textRotation="90"/>
    </xf>
    <xf numFmtId="0" fontId="2" fillId="0" borderId="31" xfId="7" applyBorder="1"/>
    <xf numFmtId="0" fontId="10" fillId="0" borderId="31" xfId="7" applyFont="1" applyBorder="1"/>
    <xf numFmtId="9" fontId="2" fillId="0" borderId="31" xfId="7" applyNumberFormat="1" applyBorder="1"/>
    <xf numFmtId="0" fontId="17" fillId="2" borderId="40" xfId="0" applyFont="1" applyFill="1" applyBorder="1" applyAlignment="1">
      <alignment horizontal="center" vertical="center" textRotation="90" wrapText="1"/>
    </xf>
    <xf numFmtId="0" fontId="17" fillId="0" borderId="40" xfId="0" applyFont="1" applyBorder="1" applyAlignment="1">
      <alignment horizontal="center" vertical="center" textRotation="90" wrapText="1"/>
    </xf>
    <xf numFmtId="0" fontId="2" fillId="2" borderId="55" xfId="0" applyFont="1" applyFill="1" applyBorder="1" applyAlignment="1">
      <alignment horizontal="center" vertical="center" wrapText="1" readingOrder="1"/>
    </xf>
    <xf numFmtId="0" fontId="2" fillId="2" borderId="56" xfId="0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vertical="center"/>
    </xf>
    <xf numFmtId="0" fontId="15" fillId="0" borderId="58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6" fillId="0" borderId="59" xfId="4" applyFont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vertical="center" wrapText="1" readingOrder="1"/>
    </xf>
    <xf numFmtId="0" fontId="30" fillId="2" borderId="0" xfId="0" applyFont="1" applyFill="1"/>
    <xf numFmtId="0" fontId="31" fillId="2" borderId="29" xfId="0" applyFont="1" applyFill="1" applyBorder="1" applyAlignment="1">
      <alignment horizontal="center"/>
    </xf>
    <xf numFmtId="0" fontId="31" fillId="0" borderId="0" xfId="0" applyFont="1"/>
    <xf numFmtId="0" fontId="3" fillId="0" borderId="60" xfId="0" applyFont="1" applyBorder="1" applyAlignment="1">
      <alignment vertical="center" wrapText="1" readingOrder="1"/>
    </xf>
    <xf numFmtId="0" fontId="3" fillId="0" borderId="61" xfId="0" applyFont="1" applyBorder="1" applyAlignment="1">
      <alignment vertical="center" wrapText="1" readingOrder="1"/>
    </xf>
    <xf numFmtId="0" fontId="2" fillId="2" borderId="62" xfId="0" applyFont="1" applyFill="1" applyBorder="1" applyAlignment="1">
      <alignment horizontal="center" vertical="center" wrapText="1" readingOrder="1"/>
    </xf>
    <xf numFmtId="0" fontId="2" fillId="2" borderId="63" xfId="0" applyFont="1" applyFill="1" applyBorder="1" applyAlignment="1">
      <alignment horizontal="center" vertical="center" wrapText="1" readingOrder="1"/>
    </xf>
    <xf numFmtId="0" fontId="2" fillId="2" borderId="64" xfId="0" applyFont="1" applyFill="1" applyBorder="1" applyAlignment="1">
      <alignment horizontal="center" vertical="center" wrapText="1" readingOrder="1"/>
    </xf>
    <xf numFmtId="0" fontId="28" fillId="0" borderId="14" xfId="0" applyFont="1" applyBorder="1"/>
    <xf numFmtId="0" fontId="32" fillId="12" borderId="41" xfId="0" applyFont="1" applyFill="1" applyBorder="1"/>
    <xf numFmtId="0" fontId="33" fillId="12" borderId="65" xfId="0" applyFont="1" applyFill="1" applyBorder="1"/>
    <xf numFmtId="0" fontId="33" fillId="2" borderId="65" xfId="0" applyFont="1" applyFill="1" applyBorder="1"/>
    <xf numFmtId="0" fontId="32" fillId="12" borderId="65" xfId="0" applyFont="1" applyFill="1" applyBorder="1"/>
    <xf numFmtId="0" fontId="12" fillId="12" borderId="65" xfId="0" applyFont="1" applyFill="1" applyBorder="1"/>
    <xf numFmtId="0" fontId="28" fillId="0" borderId="56" xfId="0" applyFont="1" applyBorder="1"/>
    <xf numFmtId="0" fontId="0" fillId="0" borderId="66" xfId="0" applyBorder="1"/>
    <xf numFmtId="0" fontId="17" fillId="0" borderId="66" xfId="0" applyFont="1" applyBorder="1" applyAlignment="1">
      <alignment horizontal="center" vertical="center" wrapText="1"/>
    </xf>
    <xf numFmtId="0" fontId="13" fillId="0" borderId="66" xfId="0" applyFont="1" applyBorder="1"/>
    <xf numFmtId="0" fontId="36" fillId="14" borderId="29" xfId="0" applyFont="1" applyFill="1" applyBorder="1" applyAlignment="1">
      <alignment horizontal="center"/>
    </xf>
    <xf numFmtId="0" fontId="35" fillId="0" borderId="29" xfId="0" applyFont="1" applyBorder="1"/>
    <xf numFmtId="0" fontId="35" fillId="15" borderId="29" xfId="0" applyFont="1" applyFill="1" applyBorder="1"/>
    <xf numFmtId="0" fontId="35" fillId="0" borderId="29" xfId="0" applyFont="1" applyBorder="1" applyAlignment="1">
      <alignment horizontal="center"/>
    </xf>
    <xf numFmtId="0" fontId="35" fillId="15" borderId="2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textRotation="90" wrapText="1"/>
    </xf>
    <xf numFmtId="0" fontId="17" fillId="0" borderId="69" xfId="0" applyFont="1" applyBorder="1" applyAlignment="1">
      <alignment horizontal="center" vertical="center" textRotation="90" wrapText="1"/>
    </xf>
    <xf numFmtId="0" fontId="17" fillId="0" borderId="70" xfId="0" applyFont="1" applyBorder="1" applyAlignment="1">
      <alignment horizontal="center" vertical="center" textRotation="90" wrapText="1"/>
    </xf>
    <xf numFmtId="0" fontId="2" fillId="2" borderId="71" xfId="0" applyFont="1" applyFill="1" applyBorder="1" applyAlignment="1">
      <alignment horizontal="center" vertical="center" wrapText="1" readingOrder="1"/>
    </xf>
    <xf numFmtId="0" fontId="2" fillId="2" borderId="72" xfId="0" applyFont="1" applyFill="1" applyBorder="1" applyAlignment="1">
      <alignment horizontal="center" vertical="center" wrapText="1" readingOrder="1"/>
    </xf>
    <xf numFmtId="0" fontId="37" fillId="16" borderId="5" xfId="0" applyFont="1" applyFill="1" applyBorder="1" applyAlignment="1">
      <alignment vertical="center" textRotation="90" wrapText="1"/>
    </xf>
    <xf numFmtId="0" fontId="38" fillId="16" borderId="5" xfId="0" applyFont="1" applyFill="1" applyBorder="1" applyAlignment="1">
      <alignment vertical="center" textRotation="90" wrapText="1"/>
    </xf>
    <xf numFmtId="0" fontId="39" fillId="2" borderId="71" xfId="0" applyFont="1" applyFill="1" applyBorder="1" applyAlignment="1">
      <alignment horizontal="center" vertical="center" wrapText="1" readingOrder="1"/>
    </xf>
    <xf numFmtId="0" fontId="39" fillId="2" borderId="72" xfId="0" applyFont="1" applyFill="1" applyBorder="1" applyAlignment="1">
      <alignment horizontal="center" vertical="center" wrapText="1" readingOrder="1"/>
    </xf>
    <xf numFmtId="0" fontId="6" fillId="0" borderId="68" xfId="4" applyFont="1" applyBorder="1" applyAlignment="1">
      <alignment horizontal="center" vertical="center" wrapText="1" readingOrder="1"/>
    </xf>
    <xf numFmtId="0" fontId="17" fillId="3" borderId="5" xfId="0" applyFont="1" applyFill="1" applyBorder="1" applyAlignment="1">
      <alignment vertical="center" textRotation="90" wrapText="1"/>
    </xf>
    <xf numFmtId="0" fontId="2" fillId="2" borderId="41" xfId="0" applyFont="1" applyFill="1" applyBorder="1" applyAlignment="1">
      <alignment horizontal="center" vertical="center" wrapText="1" readingOrder="1"/>
    </xf>
    <xf numFmtId="0" fontId="15" fillId="0" borderId="41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/>
    </xf>
    <xf numFmtId="0" fontId="34" fillId="13" borderId="67" xfId="0" applyFont="1" applyFill="1" applyBorder="1" applyAlignment="1">
      <alignment horizontal="center" wrapText="1" readingOrder="1"/>
    </xf>
    <xf numFmtId="49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9" fontId="12" fillId="0" borderId="66" xfId="8" applyFont="1" applyBorder="1" applyAlignment="1" applyProtection="1">
      <alignment horizontal="center"/>
    </xf>
    <xf numFmtId="0" fontId="34" fillId="13" borderId="67" xfId="0" applyFont="1" applyFill="1" applyBorder="1" applyAlignment="1">
      <alignment horizontal="left" wrapText="1" readingOrder="1"/>
    </xf>
    <xf numFmtId="0" fontId="34" fillId="13" borderId="67" xfId="0" applyFont="1" applyFill="1" applyBorder="1" applyAlignment="1">
      <alignment horizontal="right" wrapText="1" readingOrder="1"/>
    </xf>
    <xf numFmtId="9" fontId="34" fillId="13" borderId="67" xfId="0" applyNumberFormat="1" applyFont="1" applyFill="1" applyBorder="1" applyAlignment="1">
      <alignment horizontal="right" wrapText="1" readingOrder="1"/>
    </xf>
    <xf numFmtId="9" fontId="12" fillId="0" borderId="0" xfId="8" applyFont="1" applyProtection="1"/>
    <xf numFmtId="49" fontId="20" fillId="0" borderId="0" xfId="0" applyNumberFormat="1" applyFont="1" applyAlignment="1">
      <alignment horizontal="center"/>
    </xf>
    <xf numFmtId="9" fontId="0" fillId="0" borderId="66" xfId="8" applyFont="1" applyBorder="1" applyProtection="1"/>
    <xf numFmtId="0" fontId="39" fillId="2" borderId="71" xfId="0" applyFont="1" applyFill="1" applyBorder="1" applyAlignment="1">
      <alignment horizontal="left" vertical="center" wrapText="1" readingOrder="1"/>
    </xf>
    <xf numFmtId="0" fontId="4" fillId="0" borderId="14" xfId="0" applyFont="1" applyBorder="1" applyAlignment="1">
      <alignment vertical="top" wrapText="1" readingOrder="1"/>
    </xf>
    <xf numFmtId="0" fontId="21" fillId="0" borderId="73" xfId="0" applyFont="1" applyBorder="1"/>
    <xf numFmtId="0" fontId="8" fillId="0" borderId="74" xfId="0" applyFont="1" applyBorder="1" applyAlignment="1">
      <alignment horizontal="center" vertical="top" wrapText="1" readingOrder="1"/>
    </xf>
    <xf numFmtId="0" fontId="5" fillId="2" borderId="75" xfId="0" applyFont="1" applyFill="1" applyBorder="1" applyAlignment="1">
      <alignment vertical="center" wrapText="1" readingOrder="1"/>
    </xf>
    <xf numFmtId="0" fontId="39" fillId="2" borderId="75" xfId="0" applyFont="1" applyFill="1" applyBorder="1" applyAlignment="1">
      <alignment horizontal="center" vertical="center" wrapText="1" readingOrder="1"/>
    </xf>
    <xf numFmtId="0" fontId="3" fillId="0" borderId="75" xfId="0" applyFont="1" applyBorder="1" applyAlignment="1">
      <alignment vertical="center" wrapText="1" readingOrder="1"/>
    </xf>
    <xf numFmtId="0" fontId="0" fillId="0" borderId="75" xfId="0" applyBorder="1"/>
    <xf numFmtId="0" fontId="5" fillId="2" borderId="76" xfId="0" applyFont="1" applyFill="1" applyBorder="1" applyAlignment="1">
      <alignment vertical="center" wrapText="1" readingOrder="1"/>
    </xf>
    <xf numFmtId="0" fontId="0" fillId="0" borderId="76" xfId="0" applyBorder="1"/>
    <xf numFmtId="0" fontId="41" fillId="0" borderId="75" xfId="0" applyFont="1" applyBorder="1" applyAlignment="1">
      <alignment horizontal="center" vertical="center" wrapText="1" readingOrder="1"/>
    </xf>
    <xf numFmtId="0" fontId="42" fillId="2" borderId="75" xfId="0" applyFont="1" applyFill="1" applyBorder="1" applyAlignment="1">
      <alignment horizontal="center" vertical="center" wrapText="1" readingOrder="1"/>
    </xf>
    <xf numFmtId="0" fontId="13" fillId="0" borderId="75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 wrapText="1" readingOrder="1"/>
    </xf>
    <xf numFmtId="0" fontId="13" fillId="0" borderId="76" xfId="0" applyFont="1" applyBorder="1" applyAlignment="1">
      <alignment horizontal="center" vertical="center"/>
    </xf>
    <xf numFmtId="0" fontId="40" fillId="0" borderId="75" xfId="0" applyFont="1" applyBorder="1" applyAlignment="1">
      <alignment vertical="center" wrapText="1" readingOrder="1"/>
    </xf>
    <xf numFmtId="0" fontId="40" fillId="0" borderId="76" xfId="0" applyFont="1" applyBorder="1" applyAlignment="1">
      <alignment vertical="center" wrapText="1" readingOrder="1"/>
    </xf>
    <xf numFmtId="0" fontId="43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vertical="top"/>
    </xf>
    <xf numFmtId="0" fontId="14" fillId="0" borderId="43" xfId="0" applyFont="1" applyBorder="1" applyAlignment="1">
      <alignment vertical="top"/>
    </xf>
    <xf numFmtId="0" fontId="14" fillId="0" borderId="4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textRotation="90" wrapText="1" shrinkToFit="1"/>
    </xf>
    <xf numFmtId="0" fontId="14" fillId="0" borderId="24" xfId="0" applyFont="1" applyBorder="1" applyAlignment="1">
      <alignment horizontal="center" vertical="center" textRotation="90" wrapText="1" shrinkToFit="1"/>
    </xf>
    <xf numFmtId="0" fontId="14" fillId="0" borderId="26" xfId="0" applyFont="1" applyBorder="1" applyAlignment="1">
      <alignment horizontal="center" vertical="center" textRotation="90" wrapText="1" shrinkToFit="1"/>
    </xf>
    <xf numFmtId="0" fontId="14" fillId="0" borderId="27" xfId="0" applyFont="1" applyBorder="1" applyAlignment="1">
      <alignment horizontal="center" vertical="center" textRotation="90" wrapText="1" shrinkToFit="1"/>
    </xf>
    <xf numFmtId="0" fontId="17" fillId="6" borderId="47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3" fillId="2" borderId="25" xfId="0" applyFont="1" applyFill="1" applyBorder="1" applyAlignment="1">
      <alignment horizontal="left"/>
    </xf>
    <xf numFmtId="0" fontId="20" fillId="2" borderId="2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5" xfId="0" applyFill="1" applyBorder="1" applyAlignment="1">
      <alignment horizontal="center"/>
    </xf>
    <xf numFmtId="0" fontId="27" fillId="11" borderId="4" xfId="0" applyFont="1" applyFill="1" applyBorder="1" applyAlignment="1">
      <alignment horizontal="center"/>
    </xf>
    <xf numFmtId="0" fontId="27" fillId="11" borderId="20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7" fillId="16" borderId="47" xfId="0" applyFont="1" applyFill="1" applyBorder="1" applyAlignment="1">
      <alignment horizontal="center" vertical="center" wrapText="1"/>
    </xf>
    <xf numFmtId="0" fontId="17" fillId="16" borderId="48" xfId="0" applyFont="1" applyFill="1" applyBorder="1" applyAlignment="1">
      <alignment horizontal="center" vertical="center" wrapText="1"/>
    </xf>
    <xf numFmtId="0" fontId="17" fillId="5" borderId="47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7" fillId="8" borderId="47" xfId="0" applyFont="1" applyFill="1" applyBorder="1" applyAlignment="1">
      <alignment horizontal="center" vertical="center" wrapText="1"/>
    </xf>
    <xf numFmtId="0" fontId="17" fillId="8" borderId="48" xfId="0" applyFont="1" applyFill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 vertical="center" wrapText="1"/>
    </xf>
    <xf numFmtId="0" fontId="17" fillId="16" borderId="40" xfId="0" applyFont="1" applyFill="1" applyBorder="1" applyAlignment="1">
      <alignment horizontal="center" vertical="center" wrapText="1"/>
    </xf>
    <xf numFmtId="0" fontId="17" fillId="16" borderId="50" xfId="0" applyFont="1" applyFill="1" applyBorder="1" applyAlignment="1">
      <alignment horizontal="center" vertical="center" wrapText="1"/>
    </xf>
    <xf numFmtId="0" fontId="17" fillId="7" borderId="47" xfId="0" applyFont="1" applyFill="1" applyBorder="1" applyAlignment="1">
      <alignment horizontal="center" vertical="center" wrapText="1"/>
    </xf>
    <xf numFmtId="0" fontId="17" fillId="7" borderId="48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textRotation="90" wrapText="1" shrinkToFit="1"/>
    </xf>
    <xf numFmtId="0" fontId="14" fillId="0" borderId="33" xfId="0" applyFont="1" applyBorder="1" applyAlignment="1">
      <alignment horizontal="center" vertical="center" textRotation="90" wrapText="1" shrinkToFit="1"/>
    </xf>
    <xf numFmtId="0" fontId="14" fillId="0" borderId="3" xfId="0" applyFont="1" applyBorder="1" applyAlignment="1">
      <alignment vertical="top"/>
    </xf>
    <xf numFmtId="0" fontId="14" fillId="0" borderId="46" xfId="0" applyFont="1" applyBorder="1" applyAlignment="1">
      <alignment vertical="top"/>
    </xf>
    <xf numFmtId="0" fontId="14" fillId="0" borderId="4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Normal" xfId="0" builtinId="0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Porcentaje" xfId="8" builtinId="5"/>
    <cellStyle name="Porcentual 2" xfId="9" xr:uid="{00000000-0005-0000-0000-000009000000}"/>
    <cellStyle name="Porcentual 3" xfId="10" xr:uid="{00000000-0005-0000-0000-00000A000000}"/>
  </cellStyles>
  <dxfs count="2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Materias Vs Estudiantes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534471647361629E-2"/>
          <c:y val="0.12224953469964699"/>
          <c:w val="0.78002801855075821"/>
          <c:h val="0.73349720819788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6-5'!$C$2</c:f>
              <c:strCache>
                <c:ptCount val="1"/>
                <c:pt idx="0">
                  <c:v># de estudiantes</c:v>
                </c:pt>
              </c:strCache>
            </c:strRef>
          </c:tx>
          <c:invertIfNegative val="0"/>
          <c:dLbls>
            <c:spPr>
              <a:ln cap="sq" cmpd="dbl"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6-5'!$B$3:$B$22</c:f>
              <c:strCach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'Informe 6-5'!$C$3:$C$22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9-4E92-90B4-289806115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73456"/>
        <c:axId val="221273848"/>
      </c:barChart>
      <c:catAx>
        <c:axId val="22127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273848"/>
        <c:crosses val="autoZero"/>
        <c:auto val="1"/>
        <c:lblAlgn val="ctr"/>
        <c:lblOffset val="100"/>
        <c:noMultiLvlLbl val="0"/>
      </c:catAx>
      <c:valAx>
        <c:axId val="221273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273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0828595818225"/>
          <c:y val="0.52078290947127936"/>
          <c:w val="0.15114724019821413"/>
          <c:h val="5.867970660146704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cmpd="thickThin">
      <a:solidFill>
        <a:srgbClr val="FF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3">
                    <a:lumMod val="50000"/>
                  </a:schemeClr>
                </a:solidFill>
              </a:rPr>
              <a:t>Cantidad de Estudiantes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Informe!$C$1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Informe!$C$2:$C$5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6-4866-A547-CB0BFC0A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3147119"/>
        <c:axId val="419092463"/>
        <c:axId val="0"/>
      </c:bar3DChart>
      <c:catAx>
        <c:axId val="53314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9092463"/>
        <c:crosses val="autoZero"/>
        <c:auto val="1"/>
        <c:lblAlgn val="ctr"/>
        <c:lblOffset val="100"/>
        <c:noMultiLvlLbl val="0"/>
      </c:catAx>
      <c:valAx>
        <c:axId val="41909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314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7-4F99-980F-58EFF28A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42440"/>
        <c:axId val="243642832"/>
        <c:axId val="0"/>
      </c:bar3DChart>
      <c:catAx>
        <c:axId val="2436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2832"/>
        <c:crosses val="autoZero"/>
        <c:auto val="1"/>
        <c:lblAlgn val="ctr"/>
        <c:lblOffset val="100"/>
        <c:noMultiLvlLbl val="0"/>
      </c:catAx>
      <c:valAx>
        <c:axId val="24364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2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IPERIODO'!$O$6:$O$15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'Estadisticas IPERIODO'!$P$6:$P$15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7-42D0-9F73-42DD77F570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43643616"/>
        <c:axId val="243644008"/>
        <c:axId val="0"/>
      </c:bar3DChart>
      <c:catAx>
        <c:axId val="2436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644008"/>
        <c:crosses val="autoZero"/>
        <c:auto val="1"/>
        <c:lblAlgn val="ctr"/>
        <c:lblOffset val="100"/>
        <c:noMultiLvlLbl val="0"/>
      </c:catAx>
      <c:valAx>
        <c:axId val="24364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6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600" b="1" i="0" u="none" strike="noStrike" kern="1200" spc="100" baseline="0" dirty="0">
                <a:solidFill>
                  <a:srgbClr val="FFFFFF">
                    <a:lumMod val="95000"/>
                  </a:srgbClr>
                </a:solidFill>
                <a:effectLst/>
              </a:rPr>
              <a:t>Cantidad de estudiantes con logros pendientes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Hoja4!$C$1</c:f>
              <c:strCache>
                <c:ptCount val="1"/>
                <c:pt idx="0">
                  <c:v># Estudiantes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Hoja4!$B$2:$B$15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Hoja4!$C$2:$C$15</c:f>
              <c:numCache>
                <c:formatCode>General</c:formatCode>
                <c:ptCount val="14"/>
                <c:pt idx="0">
                  <c:v>9</c:v>
                </c:pt>
                <c:pt idx="1">
                  <c:v>15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E-4ECC-9F18-4D6DBE9B3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1313343"/>
        <c:axId val="511303263"/>
        <c:axId val="0"/>
      </c:bar3DChart>
      <c:catAx>
        <c:axId val="51131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03263"/>
        <c:crosses val="autoZero"/>
        <c:auto val="1"/>
        <c:lblAlgn val="ctr"/>
        <c:lblOffset val="100"/>
        <c:noMultiLvlLbl val="0"/>
      </c:catAx>
      <c:valAx>
        <c:axId val="51130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13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FF0000"/>
                </a:solidFill>
                <a:latin typeface="Tahoma"/>
                <a:ea typeface="Tahoma"/>
                <a:cs typeface="Tahoma"/>
              </a:defRPr>
            </a:pPr>
            <a:r>
              <a:rPr lang="es-CO"/>
              <a:t>% Por #ro de áreas Con logros pendientes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863086786282867E-2"/>
          <c:y val="0.22336309200280574"/>
          <c:w val="0.82027382771183455"/>
          <c:h val="0.5987726933494335"/>
        </c:manualLayout>
      </c:layout>
      <c:pie3DChart>
        <c:varyColors val="1"/>
        <c:ser>
          <c:idx val="0"/>
          <c:order val="0"/>
          <c:tx>
            <c:strRef>
              <c:f>Estadisticas!$R$5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9F-4D73-A669-5B97149A57C8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9F-4D73-A669-5B97149A57C8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9F-4D73-A669-5B97149A57C8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9F-4D73-A669-5B97149A57C8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9F-4D73-A669-5B97149A57C8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9F-4D73-A669-5B97149A57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9F-4D73-A669-5B97149A57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9F-4D73-A669-5B97149A57C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9F-4D73-A669-5B97149A57C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69F-4D73-A669-5B97149A57C8}"/>
              </c:ext>
            </c:extLst>
          </c:dPt>
          <c:dLbls>
            <c:dLbl>
              <c:idx val="0"/>
              <c:layout>
                <c:manualLayout>
                  <c:x val="1.3932111098053042E-2"/>
                  <c:y val="-0.113797053323606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F-4D73-A669-5B97149A57C8}"/>
                </c:ext>
              </c:extLst>
            </c:dLbl>
            <c:dLbl>
              <c:idx val="1"/>
              <c:layout>
                <c:manualLayout>
                  <c:x val="6.3034923806166016E-2"/>
                  <c:y val="-7.85761364493974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9F-4D73-A669-5B97149A57C8}"/>
                </c:ext>
              </c:extLst>
            </c:dLbl>
            <c:dLbl>
              <c:idx val="2"/>
              <c:layout>
                <c:manualLayout>
                  <c:x val="4.3585811101970462E-2"/>
                  <c:y val="2.27348578232832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9F-4D73-A669-5B97149A57C8}"/>
                </c:ext>
              </c:extLst>
            </c:dLbl>
            <c:dLbl>
              <c:idx val="4"/>
              <c:layout>
                <c:manualLayout>
                  <c:x val="-8.0996493908410697E-2"/>
                  <c:y val="4.36859450076727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9F-4D73-A669-5B97149A57C8}"/>
                </c:ext>
              </c:extLst>
            </c:dLbl>
            <c:dLbl>
              <c:idx val="5"/>
              <c:layout>
                <c:manualLayout>
                  <c:x val="-7.3603635366474712E-2"/>
                  <c:y val="3.2574107150344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9F-4D73-A669-5B97149A57C8}"/>
                </c:ext>
              </c:extLst>
            </c:dLbl>
            <c:dLbl>
              <c:idx val="6"/>
              <c:layout>
                <c:manualLayout>
                  <c:x val="-7.6894464684451755E-2"/>
                  <c:y val="-5.8992562031982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9F-4D73-A669-5B97149A57C8}"/>
                </c:ext>
              </c:extLst>
            </c:dLbl>
            <c:dLbl>
              <c:idx val="7"/>
              <c:layout>
                <c:manualLayout>
                  <c:x val="-7.3324127394523445E-2"/>
                  <c:y val="-4.9090253494670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9F-4D73-A669-5B97149A57C8}"/>
                </c:ext>
              </c:extLst>
            </c:dLbl>
            <c:dLbl>
              <c:idx val="8"/>
              <c:layout>
                <c:manualLayout>
                  <c:x val="-4.0781819250205666E-2"/>
                  <c:y val="-5.4700175257645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9F-4D73-A669-5B97149A57C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Estadisticas!$R$6:$R$15</c:f>
              <c:numCache>
                <c:formatCode>0%</c:formatCode>
                <c:ptCount val="10"/>
                <c:pt idx="0">
                  <c:v>0.25714285714285712</c:v>
                </c:pt>
                <c:pt idx="1">
                  <c:v>0.11428571428571428</c:v>
                </c:pt>
                <c:pt idx="2">
                  <c:v>0.14285714285714285</c:v>
                </c:pt>
                <c:pt idx="3">
                  <c:v>0</c:v>
                </c:pt>
                <c:pt idx="4">
                  <c:v>5.7142857142857141E-2</c:v>
                </c:pt>
                <c:pt idx="5">
                  <c:v>8.5714285714285715E-2</c:v>
                </c:pt>
                <c:pt idx="6">
                  <c:v>0.11428571428571428</c:v>
                </c:pt>
                <c:pt idx="7">
                  <c:v>8.5714285714285715E-2</c:v>
                </c:pt>
                <c:pt idx="8">
                  <c:v>5.7142857142857141E-2</c:v>
                </c:pt>
                <c:pt idx="9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69F-4D73-A669-5B97149A5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3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Areas con logros pendientes por Estudiante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5-4D5F-A1C4-16677F39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45184"/>
        <c:axId val="244829200"/>
        <c:axId val="0"/>
      </c:bar3DChart>
      <c:catAx>
        <c:axId val="2436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29200"/>
        <c:crosses val="autoZero"/>
        <c:auto val="1"/>
        <c:lblAlgn val="ctr"/>
        <c:lblOffset val="100"/>
        <c:noMultiLvlLbl val="0"/>
      </c:catAx>
      <c:valAx>
        <c:axId val="24482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977295896009486E-2"/>
          <c:y val="0.23950506186726658"/>
          <c:w val="0.9562464885210965"/>
          <c:h val="0.7033702929990894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ysClr val="window" lastClr="FFFFFF"/>
              </a:solidFill>
              <a:ln w="25400">
                <a:solidFill>
                  <a:srgbClr val="FF0000"/>
                </a:solidFill>
              </a:ln>
              <a:effectLst/>
              <a:sp3d contourW="25400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53-4490-B111-6CC13652C25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53-4490-B111-6CC13652C250}"/>
              </c:ext>
            </c:extLst>
          </c:dPt>
          <c:dLbls>
            <c:dLbl>
              <c:idx val="0"/>
              <c:layout>
                <c:manualLayout>
                  <c:x val="-0.16250584669886387"/>
                  <c:y val="-7.2343099969646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3-4490-B111-6CC13652C250}"/>
                </c:ext>
              </c:extLst>
            </c:dLbl>
            <c:dLbl>
              <c:idx val="1"/>
              <c:layout>
                <c:manualLayout>
                  <c:x val="0.14088519251438034"/>
                  <c:y val="1.51659613976824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3-4490-B111-6CC13652C25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Hoja2!$M$26:$M$27</c:f>
              <c:numCache>
                <c:formatCode>0%</c:formatCode>
                <c:ptCount val="2"/>
                <c:pt idx="0">
                  <c:v>0.51428571428571423</c:v>
                </c:pt>
                <c:pt idx="1">
                  <c:v>0.48571428571428571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53-4490-B111-6CC13652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50000000000003E-2"/>
          <c:y val="5.5555555555555552E-2"/>
          <c:w val="0.88541666666666663"/>
          <c:h val="0.8090277777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# Estudiantes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solidFill>
                <a:srgbClr val="FF0000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Hoja1!$B$4:$B$13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Hoja1!$C$4:$C$13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11A-8FB2-A447B78E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830376"/>
        <c:axId val="244830768"/>
      </c:barChart>
      <c:catAx>
        <c:axId val="24483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30768"/>
        <c:crosses val="autoZero"/>
        <c:auto val="1"/>
        <c:lblAlgn val="ctr"/>
        <c:lblOffset val="100"/>
        <c:noMultiLvlLbl val="0"/>
      </c:catAx>
      <c:valAx>
        <c:axId val="24483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30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9C-4DD8-8785-0EF7842A591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669C-4DD8-8785-0EF7842A591B}"/>
              </c:ext>
            </c:extLst>
          </c:dPt>
          <c:dLbls>
            <c:dLbl>
              <c:idx val="0"/>
              <c:layout>
                <c:manualLayout>
                  <c:x val="-6.4477909011373583E-2"/>
                  <c:y val="0.14930555555555555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9C-4DD8-8785-0EF7842A59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Hoja1!$C$25:$C$26</c:f>
              <c:numCache>
                <c:formatCode>0%</c:formatCode>
                <c:ptCount val="2"/>
                <c:pt idx="0">
                  <c:v>0.44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C-4DD8-8785-0EF7842A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5"/>
            <c:extLst>
              <c:ext xmlns:c16="http://schemas.microsoft.com/office/drawing/2014/chart" uri="{C3380CC4-5D6E-409C-BE32-E72D297353CC}">
                <c16:uniqueId val="{00000000-A706-41BA-BDB7-7E65B2396F1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A706-41BA-BDB7-7E65B2396F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Hoja1!$C$40:$C$41</c:f>
              <c:numCache>
                <c:formatCode>0%</c:formatCode>
                <c:ptCount val="2"/>
                <c:pt idx="0">
                  <c:v>0.64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06-41BA-BDB7-7E65B2396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Aprobados y Reprobados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89788359308028"/>
          <c:y val="0.1781474750262988"/>
          <c:w val="0.65338730155848168"/>
          <c:h val="0.73159229744133369"/>
        </c:manualLayout>
      </c:layout>
      <c:pie3DChart>
        <c:varyColors val="1"/>
        <c:ser>
          <c:idx val="0"/>
          <c:order val="0"/>
          <c:tx>
            <c:strRef>
              <c:f>'Informe 6-5'!$C$26</c:f>
              <c:strCache>
                <c:ptCount val="1"/>
                <c:pt idx="0">
                  <c:v>cantidad de materias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7A-4996-9104-668BA48FDD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7A-4996-9104-668BA48FDDF6}"/>
              </c:ext>
            </c:extLst>
          </c:dPt>
          <c:dLbls>
            <c:dLbl>
              <c:idx val="0"/>
              <c:layout>
                <c:manualLayout>
                  <c:x val="0.13017187592586782"/>
                  <c:y val="5.3799150677700915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7A-4996-9104-668BA48FDDF6}"/>
                </c:ext>
              </c:extLst>
            </c:dLbl>
            <c:dLbl>
              <c:idx val="1"/>
              <c:layout>
                <c:manualLayout>
                  <c:x val="-4.617470624936823E-2"/>
                  <c:y val="-1.1805665660826137E-2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A-4996-9104-668BA48FD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0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6-5'!$C$27:$C$28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A-4996-9104-668BA48F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85503306110634"/>
          <c:y val="0.49406225646972274"/>
          <c:w val="0.11819403052706057"/>
          <c:h val="0.1140145011564765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Aprobados y Reprobados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814898539417132E-2"/>
          <c:y val="0.22807066387117914"/>
          <c:w val="0.600529876263171"/>
          <c:h val="0.62061536418792018"/>
        </c:manualLayout>
      </c:layout>
      <c:pie3DChart>
        <c:varyColors val="1"/>
        <c:ser>
          <c:idx val="0"/>
          <c:order val="0"/>
          <c:tx>
            <c:strRef>
              <c:f>'Informe 6-5'!$D$26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9F-4066-9454-6FBA7A9CDD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9F-4066-9454-6FBA7A9CDD48}"/>
              </c:ext>
            </c:extLst>
          </c:dPt>
          <c:dLbls>
            <c:dLbl>
              <c:idx val="0"/>
              <c:layout>
                <c:manualLayout>
                  <c:x val="9.5166298657112305E-2"/>
                  <c:y val="-4.593538340834151E-2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F-4066-9454-6FBA7A9CDD48}"/>
                </c:ext>
              </c:extLst>
            </c:dLbl>
            <c:dLbl>
              <c:idx val="1"/>
              <c:layout>
                <c:manualLayout>
                  <c:x val="-0.11331625213514977"/>
                  <c:y val="4.8868331490204989E-2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F-4066-9454-6FBA7A9CDD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6-5'!$D$27:$D$28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F-4066-9454-6FBA7A9CD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90044300018052"/>
          <c:y val="0.43640442970944415"/>
          <c:w val="0.9894192392617589"/>
          <c:h val="0.64035225859925393"/>
        </c:manualLayout>
      </c:layout>
      <c:overlay val="0"/>
      <c:txPr>
        <a:bodyPr/>
        <a:lstStyle/>
        <a:p>
          <a:pPr>
            <a:defRPr sz="20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'informe PARCIAL 1 periodo (2)'!$AO$6</c:f>
              <c:strCache>
                <c:ptCount val="1"/>
                <c:pt idx="0">
                  <c:v># de estudiantes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PARCIAL 1 periodo (2)'!$AN$7:$AN$21</c:f>
              <c:strCach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strCache>
            </c:strRef>
          </c:cat>
          <c:val>
            <c:numRef>
              <c:f>'informe PARCIAL 1 periodo (2)'!$AO$7:$AO$21</c:f>
              <c:numCache>
                <c:formatCode>General</c:formatCode>
                <c:ptCount val="15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0-4A44-A28F-A5217C87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0907328"/>
        <c:axId val="2019334960"/>
        <c:axId val="0"/>
      </c:bar3DChart>
      <c:catAx>
        <c:axId val="18209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9334960"/>
        <c:crosses val="autoZero"/>
        <c:auto val="1"/>
        <c:lblAlgn val="ctr"/>
        <c:lblOffset val="100"/>
        <c:noMultiLvlLbl val="0"/>
      </c:catAx>
      <c:valAx>
        <c:axId val="201933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090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Cantidad de estudiantes con logros pendientes por materia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18699049339380297"/>
          <c:y val="3.08880267144949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Hoja5!$D$2</c:f>
              <c:strCache>
                <c:ptCount val="1"/>
                <c:pt idx="0">
                  <c:v># DE ESTUDIANTES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8.1143372265114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6F-44A8-A53B-65FD639E45BC}"/>
                </c:ext>
              </c:extLst>
            </c:dLbl>
            <c:dLbl>
              <c:idx val="1"/>
              <c:layout>
                <c:manualLayout>
                  <c:x val="0"/>
                  <c:y val="-0.15122173922134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6F-44A8-A53B-65FD639E45BC}"/>
                </c:ext>
              </c:extLst>
            </c:dLbl>
            <c:dLbl>
              <c:idx val="2"/>
              <c:layout>
                <c:manualLayout>
                  <c:x val="-3.1869833198694116E-17"/>
                  <c:y val="-3.6883351029597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6F-44A8-A53B-65FD639E45BC}"/>
                </c:ext>
              </c:extLst>
            </c:dLbl>
            <c:dLbl>
              <c:idx val="3"/>
              <c:layout>
                <c:manualLayout>
                  <c:x val="-6.3739666397388232E-17"/>
                  <c:y val="-4.4260021235516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6F-44A8-A53B-65FD639E45BC}"/>
                </c:ext>
              </c:extLst>
            </c:dLbl>
            <c:dLbl>
              <c:idx val="4"/>
              <c:layout>
                <c:manualLayout>
                  <c:x val="1.738374619730552E-3"/>
                  <c:y val="-6.6390031853275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6F-44A8-A53B-65FD639E45BC}"/>
                </c:ext>
              </c:extLst>
            </c:dLbl>
            <c:dLbl>
              <c:idx val="5"/>
              <c:layout>
                <c:manualLayout>
                  <c:x val="1.738374619730552E-3"/>
                  <c:y val="-5.1636691441436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6F-44A8-A53B-65FD639E45BC}"/>
                </c:ext>
              </c:extLst>
            </c:dLbl>
            <c:dLbl>
              <c:idx val="7"/>
              <c:layout>
                <c:manualLayout>
                  <c:x val="1.738374619730552E-3"/>
                  <c:y val="-0.14384506901542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6F-44A8-A53B-65FD639E45BC}"/>
                </c:ext>
              </c:extLst>
            </c:dLbl>
            <c:dLbl>
              <c:idx val="8"/>
              <c:layout>
                <c:manualLayout>
                  <c:x val="5.2151238591916557E-3"/>
                  <c:y val="-0.19917009555982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6F-44A8-A53B-65FD639E45BC}"/>
                </c:ext>
              </c:extLst>
            </c:dLbl>
            <c:dLbl>
              <c:idx val="9"/>
              <c:layout>
                <c:manualLayout>
                  <c:x val="1.738374619730552E-3"/>
                  <c:y val="-0.12171505839767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6F-44A8-A53B-65FD639E45BC}"/>
                </c:ext>
              </c:extLst>
            </c:dLbl>
            <c:dLbl>
              <c:idx val="10"/>
              <c:layout>
                <c:manualLayout>
                  <c:x val="5.2151238591916557E-3"/>
                  <c:y val="-0.13278006370655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6F-44A8-A53B-65FD639E45BC}"/>
                </c:ext>
              </c:extLst>
            </c:dLbl>
            <c:dLbl>
              <c:idx val="11"/>
              <c:layout>
                <c:manualLayout>
                  <c:x val="1.738374619730552E-3"/>
                  <c:y val="-0.15122173922134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6F-44A8-A53B-65FD639E45BC}"/>
                </c:ext>
              </c:extLst>
            </c:dLbl>
            <c:dLbl>
              <c:idx val="12"/>
              <c:layout>
                <c:manualLayout>
                  <c:x val="1.738374619730552E-3"/>
                  <c:y val="-0.136468398809509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6F-44A8-A53B-65FD639E45BC}"/>
                </c:ext>
              </c:extLst>
            </c:dLbl>
            <c:dLbl>
              <c:idx val="13"/>
              <c:layout>
                <c:manualLayout>
                  <c:x val="5.2151238591915281E-3"/>
                  <c:y val="-0.11065005308879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6F-44A8-A53B-65FD639E45BC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Hoja5!$C$3:$C$16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Hoja5!$D$3:$D$16</c:f>
              <c:numCache>
                <c:formatCode>General</c:formatCode>
                <c:ptCount val="14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4A8-A53B-65FD639E4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7005056"/>
        <c:axId val="2019362320"/>
        <c:axId val="0"/>
      </c:bar3DChart>
      <c:catAx>
        <c:axId val="199700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9362320"/>
        <c:crosses val="autoZero"/>
        <c:auto val="1"/>
        <c:lblAlgn val="ctr"/>
        <c:lblOffset val="100"/>
        <c:noMultiLvlLbl val="0"/>
      </c:catAx>
      <c:valAx>
        <c:axId val="201936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700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%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2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plosion val="1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40-442E-91E4-48815E4D3CA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36-40FA-82A9-C564929AF0A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36-40FA-82A9-C564929AF0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436-40FA-82A9-C564929AF0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436-40FA-82A9-C564929AF0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436-40FA-82A9-C564929AF0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436-40FA-82A9-C564929AF0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436-40FA-82A9-C564929AF0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436-40FA-82A9-C564929AF0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2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2 periodo'!$AK$7:$AK$15</c:f>
              <c:numCache>
                <c:formatCode>0%</c:formatCode>
                <c:ptCount val="9"/>
                <c:pt idx="0">
                  <c:v>0.34482758620689657</c:v>
                </c:pt>
                <c:pt idx="1">
                  <c:v>0.20689655172413793</c:v>
                </c:pt>
                <c:pt idx="2">
                  <c:v>0.10344827586206896</c:v>
                </c:pt>
                <c:pt idx="3">
                  <c:v>0.10344827586206896</c:v>
                </c:pt>
                <c:pt idx="4">
                  <c:v>6.8965517241379309E-2</c:v>
                </c:pt>
                <c:pt idx="5">
                  <c:v>0.10344827586206896</c:v>
                </c:pt>
                <c:pt idx="6">
                  <c:v>6.8965517241379309E-2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0-442E-91E4-48815E4D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2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DF-485F-ADDC-7B99CD3439D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6DF-485F-ADDC-7B99CD3439D4}"/>
              </c:ext>
            </c:extLst>
          </c:dPt>
          <c:dLbls>
            <c:dLbl>
              <c:idx val="0"/>
              <c:layout>
                <c:manualLayout>
                  <c:x val="0.12710012246162888"/>
                  <c:y val="-9.5083882627228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DF-485F-ADDC-7B99CD3439D4}"/>
                </c:ext>
              </c:extLst>
            </c:dLbl>
            <c:dLbl>
              <c:idx val="1"/>
              <c:layout>
                <c:manualLayout>
                  <c:x val="-0.10173054021622011"/>
                  <c:y val="-1.9375197192322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DF-485F-ADDC-7B99CD343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2 periodo'!$AO$7:$AO$8</c:f>
              <c:strCache>
                <c:ptCount val="2"/>
                <c:pt idx="0">
                  <c:v>No tienen logros pendiente</c:v>
                </c:pt>
                <c:pt idx="1">
                  <c:v>Tienen logros pendientes</c:v>
                </c:pt>
              </c:strCache>
            </c:strRef>
          </c:cat>
          <c:val>
            <c:numRef>
              <c:f>'informe Final 2 periodo'!$AQ$7:$AQ$8</c:f>
              <c:numCache>
                <c:formatCode>0%</c:formatCode>
                <c:ptCount val="2"/>
                <c:pt idx="0">
                  <c:v>0.34482758620689657</c:v>
                </c:pt>
                <c:pt idx="1">
                  <c:v>0.65517241379310343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F-485F-ADDC-7B99CD34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'informe Final 2 periodo'!$AJ$6</c:f>
              <c:strCache>
                <c:ptCount val="1"/>
                <c:pt idx="0">
                  <c:v>Areas Reprobadas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Final 2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2 periodo'!$AJ$7:$AJ$15</c:f>
              <c:numCache>
                <c:formatCode>General</c:formatCode>
                <c:ptCount val="9"/>
                <c:pt idx="0">
                  <c:v>10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6-4B45-B058-C87853FC17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84656847"/>
        <c:axId val="284667407"/>
        <c:axId val="0"/>
      </c:bar3DChart>
      <c:catAx>
        <c:axId val="28465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4667407"/>
        <c:crosses val="autoZero"/>
        <c:auto val="1"/>
        <c:lblAlgn val="ctr"/>
        <c:lblOffset val="100"/>
        <c:noMultiLvlLbl val="0"/>
      </c:catAx>
      <c:valAx>
        <c:axId val="28466740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465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88888888888889E-3"/>
          <c:y val="0.17837780694079905"/>
          <c:w val="0.90694444444444444"/>
          <c:h val="0.68590587634878986"/>
        </c:manualLayout>
      </c:layout>
      <c:pie3DChart>
        <c:varyColors val="1"/>
        <c:ser>
          <c:idx val="0"/>
          <c:order val="0"/>
          <c:tx>
            <c:strRef>
              <c:f>Informe!$D$1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28-44C6-B6BC-1D9EC4C57C39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28-44C6-B6BC-1D9EC4C57C3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28-44C6-B6BC-1D9EC4C57C3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28-44C6-B6BC-1D9EC4C57C39}"/>
              </c:ext>
            </c:extLst>
          </c:dPt>
          <c:dLbls>
            <c:dLbl>
              <c:idx val="0"/>
              <c:layout>
                <c:manualLayout>
                  <c:x val="5.1637685914260718E-2"/>
                  <c:y val="-6.3094196558763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28-44C6-B6BC-1D9EC4C57C39}"/>
                </c:ext>
              </c:extLst>
            </c:dLbl>
            <c:dLbl>
              <c:idx val="1"/>
              <c:layout>
                <c:manualLayout>
                  <c:x val="0.18834474958922817"/>
                  <c:y val="-5.4449126681776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28-44C6-B6BC-1D9EC4C57C39}"/>
                </c:ext>
              </c:extLst>
            </c:dLbl>
            <c:dLbl>
              <c:idx val="2"/>
              <c:layout>
                <c:manualLayout>
                  <c:x val="5.37225529735612E-3"/>
                  <c:y val="-0.164932495647525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8-44C6-B6BC-1D9EC4C57C39}"/>
                </c:ext>
              </c:extLst>
            </c:dLbl>
            <c:dLbl>
              <c:idx val="3"/>
              <c:layout>
                <c:manualLayout>
                  <c:x val="-4.7831911636045492E-2"/>
                  <c:y val="-3.5647054534849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28-44C6-B6BC-1D9EC4C57C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Informe!$D$2:$D$5</c:f>
              <c:numCache>
                <c:formatCode>0%</c:formatCode>
                <c:ptCount val="4"/>
                <c:pt idx="0">
                  <c:v>0.45454545454545453</c:v>
                </c:pt>
                <c:pt idx="1">
                  <c:v>0.27272727272727271</c:v>
                </c:pt>
                <c:pt idx="2">
                  <c:v>0.18181818181818182</c:v>
                </c:pt>
                <c:pt idx="3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4C6-B6BC-1D9EC4C57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28575</xdr:rowOff>
    </xdr:from>
    <xdr:to>
      <xdr:col>13</xdr:col>
      <xdr:colOff>352425</xdr:colOff>
      <xdr:row>21</xdr:row>
      <xdr:rowOff>114300</xdr:rowOff>
    </xdr:to>
    <xdr:graphicFrame macro="">
      <xdr:nvGraphicFramePr>
        <xdr:cNvPr id="1995887" name="3 Gráfico">
          <a:extLst>
            <a:ext uri="{FF2B5EF4-FFF2-40B4-BE49-F238E27FC236}">
              <a16:creationId xmlns:a16="http://schemas.microsoft.com/office/drawing/2014/main" id="{00000000-0008-0000-0000-00006F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24</xdr:row>
      <xdr:rowOff>180975</xdr:rowOff>
    </xdr:from>
    <xdr:to>
      <xdr:col>13</xdr:col>
      <xdr:colOff>542925</xdr:colOff>
      <xdr:row>45</xdr:row>
      <xdr:rowOff>152400</xdr:rowOff>
    </xdr:to>
    <xdr:graphicFrame macro="">
      <xdr:nvGraphicFramePr>
        <xdr:cNvPr id="1995888" name="4 Gráfico">
          <a:extLst>
            <a:ext uri="{FF2B5EF4-FFF2-40B4-BE49-F238E27FC236}">
              <a16:creationId xmlns:a16="http://schemas.microsoft.com/office/drawing/2014/main" id="{00000000-0008-0000-0000-000070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228600</xdr:colOff>
      <xdr:row>47</xdr:row>
      <xdr:rowOff>171450</xdr:rowOff>
    </xdr:from>
    <xdr:to>
      <xdr:col>13</xdr:col>
      <xdr:colOff>571500</xdr:colOff>
      <xdr:row>70</xdr:row>
      <xdr:rowOff>133350</xdr:rowOff>
    </xdr:to>
    <xdr:graphicFrame macro="">
      <xdr:nvGraphicFramePr>
        <xdr:cNvPr id="1995889" name="5 Gráfico">
          <a:extLst>
            <a:ext uri="{FF2B5EF4-FFF2-40B4-BE49-F238E27FC236}">
              <a16:creationId xmlns:a16="http://schemas.microsoft.com/office/drawing/2014/main" id="{00000000-0008-0000-0000-000071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1116330</xdr:colOff>
      <xdr:row>28</xdr:row>
      <xdr:rowOff>70486</xdr:rowOff>
    </xdr:from>
    <xdr:to>
      <xdr:col>2</xdr:col>
      <xdr:colOff>1106876</xdr:colOff>
      <xdr:row>28</xdr:row>
      <xdr:rowOff>116205</xdr:rowOff>
    </xdr:to>
    <xdr:sp macro="" textlink="">
      <xdr:nvSpPr>
        <xdr:cNvPr id="5" name="4 Flecha derech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85950" y="5450206"/>
          <a:ext cx="12858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223837</xdr:rowOff>
    </xdr:from>
    <xdr:to>
      <xdr:col>14</xdr:col>
      <xdr:colOff>742950</xdr:colOff>
      <xdr:row>15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157EB0-B452-8139-8FCB-5C5C81814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38100</xdr:rowOff>
    </xdr:from>
    <xdr:to>
      <xdr:col>8</xdr:col>
      <xdr:colOff>619125</xdr:colOff>
      <xdr:row>20</xdr:row>
      <xdr:rowOff>104775</xdr:rowOff>
    </xdr:to>
    <xdr:graphicFrame macro="">
      <xdr:nvGraphicFramePr>
        <xdr:cNvPr id="279116" name="Gráfico 1">
          <a:extLst>
            <a:ext uri="{FF2B5EF4-FFF2-40B4-BE49-F238E27FC236}">
              <a16:creationId xmlns:a16="http://schemas.microsoft.com/office/drawing/2014/main" id="{00000000-0008-0000-0600-00004C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21</xdr:row>
      <xdr:rowOff>85725</xdr:rowOff>
    </xdr:from>
    <xdr:to>
      <xdr:col>8</xdr:col>
      <xdr:colOff>600075</xdr:colOff>
      <xdr:row>39</xdr:row>
      <xdr:rowOff>38100</xdr:rowOff>
    </xdr:to>
    <xdr:graphicFrame macro="">
      <xdr:nvGraphicFramePr>
        <xdr:cNvPr id="279117" name="Gráfico 2">
          <a:extLst>
            <a:ext uri="{FF2B5EF4-FFF2-40B4-BE49-F238E27FC236}">
              <a16:creationId xmlns:a16="http://schemas.microsoft.com/office/drawing/2014/main" id="{00000000-0008-0000-0600-00004D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762000</xdr:colOff>
      <xdr:row>43</xdr:row>
      <xdr:rowOff>0</xdr:rowOff>
    </xdr:from>
    <xdr:to>
      <xdr:col>9</xdr:col>
      <xdr:colOff>85725</xdr:colOff>
      <xdr:row>57</xdr:row>
      <xdr:rowOff>133350</xdr:rowOff>
    </xdr:to>
    <xdr:graphicFrame macro="">
      <xdr:nvGraphicFramePr>
        <xdr:cNvPr id="279118" name="Gráfico 4">
          <a:extLst>
            <a:ext uri="{FF2B5EF4-FFF2-40B4-BE49-F238E27FC236}">
              <a16:creationId xmlns:a16="http://schemas.microsoft.com/office/drawing/2014/main" id="{00000000-0008-0000-0600-00004E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</xdr:row>
      <xdr:rowOff>161925</xdr:rowOff>
    </xdr:from>
    <xdr:to>
      <xdr:col>11</xdr:col>
      <xdr:colOff>200025</xdr:colOff>
      <xdr:row>20</xdr:row>
      <xdr:rowOff>47625</xdr:rowOff>
    </xdr:to>
    <xdr:graphicFrame macro="">
      <xdr:nvGraphicFramePr>
        <xdr:cNvPr id="558544" name="2 Gráfico">
          <a:extLst>
            <a:ext uri="{FF2B5EF4-FFF2-40B4-BE49-F238E27FC236}">
              <a16:creationId xmlns:a16="http://schemas.microsoft.com/office/drawing/2014/main" id="{00000000-0008-0000-0700-0000D0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21</xdr:row>
      <xdr:rowOff>57150</xdr:rowOff>
    </xdr:from>
    <xdr:to>
      <xdr:col>12</xdr:col>
      <xdr:colOff>266700</xdr:colOff>
      <xdr:row>35</xdr:row>
      <xdr:rowOff>133350</xdr:rowOff>
    </xdr:to>
    <xdr:graphicFrame macro="">
      <xdr:nvGraphicFramePr>
        <xdr:cNvPr id="558545" name="3 Gráfico">
          <a:extLst>
            <a:ext uri="{FF2B5EF4-FFF2-40B4-BE49-F238E27FC236}">
              <a16:creationId xmlns:a16="http://schemas.microsoft.com/office/drawing/2014/main" id="{00000000-0008-0000-0700-0000D1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257175</xdr:colOff>
      <xdr:row>36</xdr:row>
      <xdr:rowOff>123825</xdr:rowOff>
    </xdr:from>
    <xdr:to>
      <xdr:col>12</xdr:col>
      <xdr:colOff>257175</xdr:colOff>
      <xdr:row>51</xdr:row>
      <xdr:rowOff>9525</xdr:rowOff>
    </xdr:to>
    <xdr:graphicFrame macro="">
      <xdr:nvGraphicFramePr>
        <xdr:cNvPr id="558546" name="4 Gráfico">
          <a:extLst>
            <a:ext uri="{FF2B5EF4-FFF2-40B4-BE49-F238E27FC236}">
              <a16:creationId xmlns:a16="http://schemas.microsoft.com/office/drawing/2014/main" id="{00000000-0008-0000-0700-0000D2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31</xdr:row>
      <xdr:rowOff>0</xdr:rowOff>
    </xdr:from>
    <xdr:to>
      <xdr:col>44</xdr:col>
      <xdr:colOff>499482</xdr:colOff>
      <xdr:row>58</xdr:row>
      <xdr:rowOff>116158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1BB5B8-A545-4244-8B7C-35CD78DA0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5</xdr:row>
      <xdr:rowOff>128586</xdr:rowOff>
    </xdr:from>
    <xdr:to>
      <xdr:col>14</xdr:col>
      <xdr:colOff>590550</xdr:colOff>
      <xdr:row>19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652653-6831-2287-9038-A0B58B3BB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676043</xdr:colOff>
      <xdr:row>27</xdr:row>
      <xdr:rowOff>209084</xdr:rowOff>
    </xdr:from>
    <xdr:to>
      <xdr:col>43</xdr:col>
      <xdr:colOff>197469</xdr:colOff>
      <xdr:row>50</xdr:row>
      <xdr:rowOff>69696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A5C045-9BD6-59F2-EDDD-CB02088DD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321758</xdr:colOff>
      <xdr:row>10</xdr:row>
      <xdr:rowOff>57150</xdr:rowOff>
    </xdr:from>
    <xdr:to>
      <xdr:col>45</xdr:col>
      <xdr:colOff>290396</xdr:colOff>
      <xdr:row>28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E80207-3BA4-5D35-256F-D47716EE9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197922</xdr:colOff>
      <xdr:row>7</xdr:row>
      <xdr:rowOff>12369</xdr:rowOff>
    </xdr:from>
    <xdr:to>
      <xdr:col>58</xdr:col>
      <xdr:colOff>717467</xdr:colOff>
      <xdr:row>22</xdr:row>
      <xdr:rowOff>123701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B5EFC1-16F4-40A5-A466-D88348FA6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3</xdr:row>
      <xdr:rowOff>47625</xdr:rowOff>
    </xdr:from>
    <xdr:to>
      <xdr:col>3</xdr:col>
      <xdr:colOff>1162050</xdr:colOff>
      <xdr:row>6</xdr:row>
      <xdr:rowOff>41275</xdr:rowOff>
    </xdr:to>
    <xdr:pic>
      <xdr:nvPicPr>
        <xdr:cNvPr id="45483" name="Picture 16" descr="https://encrypted-tbn1.gstatic.com/images?q=tbn:ANd9GcQKUmmGGMr_jXoemMUtol6RVAVbuTRUUP2xy8MUTWcrt1LZkQAL">
          <a:extLst>
            <a:ext uri="{FF2B5EF4-FFF2-40B4-BE49-F238E27FC236}">
              <a16:creationId xmlns:a16="http://schemas.microsoft.com/office/drawing/2014/main" id="{00000000-0008-0000-0200-0000ABB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9875" y="606425"/>
          <a:ext cx="485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157161</xdr:rowOff>
    </xdr:from>
    <xdr:to>
      <xdr:col>11</xdr:col>
      <xdr:colOff>419100</xdr:colOff>
      <xdr:row>18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F4A8CF-DD16-491B-AAC4-7CC5A101F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12</xdr:col>
      <xdr:colOff>0</xdr:colOff>
      <xdr:row>20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A1B9C2-AEAB-451F-ACB0-FF3005EDD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8</xdr:row>
      <xdr:rowOff>209550</xdr:rowOff>
    </xdr:from>
    <xdr:to>
      <xdr:col>24</xdr:col>
      <xdr:colOff>523875</xdr:colOff>
      <xdr:row>22</xdr:row>
      <xdr:rowOff>171450</xdr:rowOff>
    </xdr:to>
    <xdr:graphicFrame macro="">
      <xdr:nvGraphicFramePr>
        <xdr:cNvPr id="274645" name="Gráfico 1">
          <a:extLst>
            <a:ext uri="{FF2B5EF4-FFF2-40B4-BE49-F238E27FC236}">
              <a16:creationId xmlns:a16="http://schemas.microsoft.com/office/drawing/2014/main" id="{00000000-0008-0000-0400-0000D53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592960</xdr:colOff>
      <xdr:row>8</xdr:row>
      <xdr:rowOff>94791</xdr:rowOff>
    </xdr:from>
    <xdr:to>
      <xdr:col>24</xdr:col>
      <xdr:colOff>650111</xdr:colOff>
      <xdr:row>22</xdr:row>
      <xdr:rowOff>56691</xdr:rowOff>
    </xdr:to>
    <xdr:graphicFrame macro="">
      <xdr:nvGraphicFramePr>
        <xdr:cNvPr id="685217" name="Gráfico 1">
          <a:extLst>
            <a:ext uri="{FF2B5EF4-FFF2-40B4-BE49-F238E27FC236}">
              <a16:creationId xmlns:a16="http://schemas.microsoft.com/office/drawing/2014/main" id="{00000000-0008-0000-0500-0000A174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9"/>
  <sheetViews>
    <sheetView topLeftCell="B4" workbookViewId="0">
      <selection activeCell="B2" sqref="B2:C22"/>
    </sheetView>
  </sheetViews>
  <sheetFormatPr baseColWidth="10" defaultRowHeight="15" x14ac:dyDescent="0.25"/>
  <cols>
    <col min="2" max="3" width="19.5703125" bestFit="1" customWidth="1"/>
  </cols>
  <sheetData>
    <row r="1" spans="2:3" ht="15.75" thickBot="1" x14ac:dyDescent="0.3"/>
    <row r="2" spans="2:3" x14ac:dyDescent="0.25">
      <c r="B2" s="8" t="s">
        <v>22</v>
      </c>
      <c r="C2" s="9" t="s">
        <v>23</v>
      </c>
    </row>
    <row r="3" spans="2:3" x14ac:dyDescent="0.25">
      <c r="B3" s="22" t="s">
        <v>24</v>
      </c>
      <c r="C3" s="23" t="e">
        <f>COUNTIF(#REF!,"0")</f>
        <v>#REF!</v>
      </c>
    </row>
    <row r="4" spans="2:3" x14ac:dyDescent="0.25">
      <c r="B4" s="22" t="s">
        <v>25</v>
      </c>
      <c r="C4" s="23" t="e">
        <f>COUNTIF(#REF!,"1")</f>
        <v>#REF!</v>
      </c>
    </row>
    <row r="5" spans="2:3" x14ac:dyDescent="0.25">
      <c r="B5" s="22" t="s">
        <v>26</v>
      </c>
      <c r="C5" s="23" t="e">
        <f>COUNTIF(#REF!,"2")</f>
        <v>#REF!</v>
      </c>
    </row>
    <row r="6" spans="2:3" x14ac:dyDescent="0.25">
      <c r="B6" s="22" t="s">
        <v>27</v>
      </c>
      <c r="C6" s="23" t="e">
        <f>COUNTIF(#REF!,"3")</f>
        <v>#REF!</v>
      </c>
    </row>
    <row r="7" spans="2:3" x14ac:dyDescent="0.25">
      <c r="B7" s="22" t="s">
        <v>28</v>
      </c>
      <c r="C7" s="23" t="e">
        <f>COUNTIF(#REF!,"4")</f>
        <v>#REF!</v>
      </c>
    </row>
    <row r="8" spans="2:3" x14ac:dyDescent="0.25">
      <c r="B8" s="22" t="s">
        <v>29</v>
      </c>
      <c r="C8" s="23" t="e">
        <f>COUNTIF(#REF!,"5")</f>
        <v>#REF!</v>
      </c>
    </row>
    <row r="9" spans="2:3" x14ac:dyDescent="0.25">
      <c r="B9" s="22" t="s">
        <v>30</v>
      </c>
      <c r="C9" s="23" t="e">
        <f>COUNTIF(#REF!,"6")</f>
        <v>#REF!</v>
      </c>
    </row>
    <row r="10" spans="2:3" x14ac:dyDescent="0.25">
      <c r="B10" s="22" t="s">
        <v>31</v>
      </c>
      <c r="C10" s="23" t="e">
        <f>COUNTIF(#REF!,"7")</f>
        <v>#REF!</v>
      </c>
    </row>
    <row r="11" spans="2:3" x14ac:dyDescent="0.25">
      <c r="B11" s="22" t="s">
        <v>32</v>
      </c>
      <c r="C11" s="23" t="e">
        <f>COUNTIF(#REF!,"8")</f>
        <v>#REF!</v>
      </c>
    </row>
    <row r="12" spans="2:3" x14ac:dyDescent="0.25">
      <c r="B12" s="22" t="s">
        <v>33</v>
      </c>
      <c r="C12" s="23" t="e">
        <f>COUNTIF(#REF!,"9")</f>
        <v>#REF!</v>
      </c>
    </row>
    <row r="13" spans="2:3" x14ac:dyDescent="0.25">
      <c r="B13" s="22" t="s">
        <v>34</v>
      </c>
      <c r="C13" s="23" t="e">
        <f>COUNTIF(#REF!,"10")</f>
        <v>#REF!</v>
      </c>
    </row>
    <row r="14" spans="2:3" x14ac:dyDescent="0.25">
      <c r="B14" s="22" t="s">
        <v>35</v>
      </c>
      <c r="C14" s="23" t="e">
        <f>COUNTIF(#REF!,"11")</f>
        <v>#REF!</v>
      </c>
    </row>
    <row r="15" spans="2:3" x14ac:dyDescent="0.25">
      <c r="B15" s="22" t="s">
        <v>36</v>
      </c>
      <c r="C15" s="23" t="e">
        <f>COUNTIF(#REF!,"12")</f>
        <v>#REF!</v>
      </c>
    </row>
    <row r="16" spans="2:3" x14ac:dyDescent="0.25">
      <c r="B16" s="22" t="s">
        <v>37</v>
      </c>
      <c r="C16" s="23" t="e">
        <f>COUNTIF(#REF!,"13")</f>
        <v>#REF!</v>
      </c>
    </row>
    <row r="17" spans="2:4" x14ac:dyDescent="0.25">
      <c r="B17" s="22" t="s">
        <v>38</v>
      </c>
      <c r="C17" s="23" t="e">
        <f>COUNTIF(#REF!,"14")</f>
        <v>#REF!</v>
      </c>
    </row>
    <row r="18" spans="2:4" x14ac:dyDescent="0.25">
      <c r="B18" s="22" t="s">
        <v>39</v>
      </c>
      <c r="C18" s="23" t="e">
        <f>COUNTIF(#REF!,"15")</f>
        <v>#REF!</v>
      </c>
    </row>
    <row r="19" spans="2:4" x14ac:dyDescent="0.25">
      <c r="B19" s="22" t="s">
        <v>40</v>
      </c>
      <c r="C19" s="23" t="e">
        <f>COUNTIF(#REF!,"16")</f>
        <v>#REF!</v>
      </c>
    </row>
    <row r="20" spans="2:4" x14ac:dyDescent="0.25">
      <c r="B20" s="22" t="s">
        <v>41</v>
      </c>
      <c r="C20" s="23" t="e">
        <f>COUNTIF(#REF!,"17")</f>
        <v>#REF!</v>
      </c>
    </row>
    <row r="21" spans="2:4" x14ac:dyDescent="0.25">
      <c r="B21" s="22" t="s">
        <v>42</v>
      </c>
      <c r="C21" s="23" t="e">
        <f>COUNTIF(#REF!,"18")</f>
        <v>#REF!</v>
      </c>
    </row>
    <row r="22" spans="2:4" ht="15.75" thickBot="1" x14ac:dyDescent="0.3">
      <c r="B22" s="24" t="s">
        <v>43</v>
      </c>
      <c r="C22" s="25" t="e">
        <f>COUNTIF(#REF!,"19")</f>
        <v>#REF!</v>
      </c>
    </row>
    <row r="25" spans="2:4" ht="15.75" thickBot="1" x14ac:dyDescent="0.3"/>
    <row r="26" spans="2:4" ht="15.75" thickBot="1" x14ac:dyDescent="0.3">
      <c r="B26" s="16" t="s">
        <v>44</v>
      </c>
      <c r="C26" s="17" t="s">
        <v>22</v>
      </c>
      <c r="D26" s="18" t="s">
        <v>47</v>
      </c>
    </row>
    <row r="27" spans="2:4" x14ac:dyDescent="0.25">
      <c r="B27" s="13" t="s">
        <v>45</v>
      </c>
      <c r="C27" s="14" t="e">
        <f>COUNTIF(#REF!,"&lt;3")</f>
        <v>#REF!</v>
      </c>
      <c r="D27" s="15" t="e">
        <f>C27/$C$29</f>
        <v>#REF!</v>
      </c>
    </row>
    <row r="28" spans="2:4" ht="15.75" thickBot="1" x14ac:dyDescent="0.3">
      <c r="B28" s="10" t="s">
        <v>46</v>
      </c>
      <c r="C28" s="11" t="e">
        <f>COUNTIF(#REF!,"&gt;=3")</f>
        <v>#REF!</v>
      </c>
      <c r="D28" s="12" t="e">
        <f>C28/$C$29</f>
        <v>#REF!</v>
      </c>
    </row>
    <row r="29" spans="2:4" ht="15.75" thickBot="1" x14ac:dyDescent="0.3">
      <c r="B29" s="19" t="s">
        <v>48</v>
      </c>
      <c r="C29" s="20" t="e">
        <f>SUM(C27:C28)</f>
        <v>#REF!</v>
      </c>
      <c r="D29" s="21" t="e">
        <f>SUM(D27:D28)</f>
        <v>#REF!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0C9B-991D-48AC-9AEF-2525539F61D6}">
  <dimension ref="B1:C15"/>
  <sheetViews>
    <sheetView topLeftCell="C2" workbookViewId="0">
      <selection activeCell="Q15" sqref="Q15"/>
    </sheetView>
  </sheetViews>
  <sheetFormatPr baseColWidth="10" defaultRowHeight="15" x14ac:dyDescent="0.25"/>
  <cols>
    <col min="3" max="3" width="12.7109375" bestFit="1" customWidth="1"/>
  </cols>
  <sheetData>
    <row r="1" spans="2:3" ht="15.75" thickBot="1" x14ac:dyDescent="0.3">
      <c r="B1" t="s">
        <v>224</v>
      </c>
      <c r="C1" t="s">
        <v>137</v>
      </c>
    </row>
    <row r="2" spans="2:3" ht="21.75" thickBot="1" x14ac:dyDescent="0.3">
      <c r="B2" s="133" t="s">
        <v>3</v>
      </c>
      <c r="C2">
        <v>9</v>
      </c>
    </row>
    <row r="3" spans="2:3" ht="30" thickBot="1" x14ac:dyDescent="0.3">
      <c r="B3" s="133" t="s">
        <v>4</v>
      </c>
      <c r="C3">
        <v>15</v>
      </c>
    </row>
    <row r="4" spans="2:3" ht="16.5" thickBot="1" x14ac:dyDescent="0.3">
      <c r="B4" s="134" t="s">
        <v>167</v>
      </c>
      <c r="C4">
        <v>5</v>
      </c>
    </row>
    <row r="5" spans="2:3" ht="24" thickBot="1" x14ac:dyDescent="0.3">
      <c r="B5" s="134" t="s">
        <v>165</v>
      </c>
      <c r="C5">
        <v>1</v>
      </c>
    </row>
    <row r="6" spans="2:3" ht="33.75" thickBot="1" x14ac:dyDescent="0.3">
      <c r="B6" s="139" t="s">
        <v>6</v>
      </c>
      <c r="C6">
        <v>4</v>
      </c>
    </row>
    <row r="7" spans="2:3" ht="38.25" thickBot="1" x14ac:dyDescent="0.3">
      <c r="B7" s="139" t="s">
        <v>8</v>
      </c>
      <c r="C7">
        <v>3</v>
      </c>
    </row>
    <row r="8" spans="2:3" ht="19.5" thickBot="1" x14ac:dyDescent="0.3">
      <c r="B8" s="133" t="s">
        <v>10</v>
      </c>
      <c r="C8">
        <v>12</v>
      </c>
    </row>
    <row r="9" spans="2:3" ht="19.5" thickBot="1" x14ac:dyDescent="0.3">
      <c r="B9" s="133" t="s">
        <v>11</v>
      </c>
      <c r="C9">
        <v>10</v>
      </c>
    </row>
    <row r="10" spans="2:3" ht="18.75" thickBot="1" x14ac:dyDescent="0.3">
      <c r="B10" s="133" t="s">
        <v>12</v>
      </c>
      <c r="C10">
        <v>13</v>
      </c>
    </row>
    <row r="11" spans="2:3" ht="16.5" thickBot="1" x14ac:dyDescent="0.3">
      <c r="B11" s="133" t="s">
        <v>13</v>
      </c>
      <c r="C11">
        <v>14</v>
      </c>
    </row>
    <row r="12" spans="2:3" ht="17.25" thickBot="1" x14ac:dyDescent="0.3">
      <c r="B12" s="133" t="s">
        <v>14</v>
      </c>
      <c r="C12">
        <v>7</v>
      </c>
    </row>
    <row r="13" spans="2:3" ht="15.75" thickBot="1" x14ac:dyDescent="0.3">
      <c r="B13" s="135" t="s">
        <v>15</v>
      </c>
      <c r="C13">
        <v>11</v>
      </c>
    </row>
    <row r="14" spans="2:3" ht="15.75" thickBot="1" x14ac:dyDescent="0.3">
      <c r="B14" s="136" t="s">
        <v>16</v>
      </c>
      <c r="C14">
        <v>11</v>
      </c>
    </row>
    <row r="15" spans="2:3" ht="24.75" x14ac:dyDescent="0.25">
      <c r="B15" s="140" t="s">
        <v>135</v>
      </c>
      <c r="C15">
        <v>7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L26:M27"/>
  <sheetViews>
    <sheetView topLeftCell="A28" workbookViewId="0">
      <selection activeCell="D5" sqref="D5"/>
    </sheetView>
  </sheetViews>
  <sheetFormatPr baseColWidth="10" defaultRowHeight="15" x14ac:dyDescent="0.25"/>
  <sheetData>
    <row r="26" spans="12:13" x14ac:dyDescent="0.25">
      <c r="L26">
        <v>18</v>
      </c>
      <c r="M26" s="56">
        <f>L26/35</f>
        <v>0.51428571428571423</v>
      </c>
    </row>
    <row r="27" spans="12:13" x14ac:dyDescent="0.25">
      <c r="L27">
        <f>35-18</f>
        <v>17</v>
      </c>
      <c r="M27" s="56">
        <f>L27/35</f>
        <v>0.48571428571428571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42"/>
  <sheetViews>
    <sheetView topLeftCell="A24" workbookViewId="0">
      <selection activeCell="D5" sqref="D5"/>
    </sheetView>
  </sheetViews>
  <sheetFormatPr baseColWidth="10" defaultRowHeight="15" x14ac:dyDescent="0.25"/>
  <cols>
    <col min="3" max="3" width="13.140625" customWidth="1"/>
  </cols>
  <sheetData>
    <row r="3" spans="2:4" x14ac:dyDescent="0.25">
      <c r="B3" s="69" t="s">
        <v>136</v>
      </c>
      <c r="C3" s="69" t="s">
        <v>137</v>
      </c>
      <c r="D3" s="68" t="s">
        <v>47</v>
      </c>
    </row>
    <row r="4" spans="2:4" x14ac:dyDescent="0.25">
      <c r="B4" s="55" t="s">
        <v>24</v>
      </c>
      <c r="C4">
        <f>COUNTIF('Estadisticas IPERIODO'!$M$5:$M$29,"0")</f>
        <v>11</v>
      </c>
      <c r="D4" s="56">
        <f>C4/$C$14</f>
        <v>0.44</v>
      </c>
    </row>
    <row r="5" spans="2:4" x14ac:dyDescent="0.25">
      <c r="B5" s="55" t="s">
        <v>25</v>
      </c>
      <c r="C5">
        <f>COUNTIF('Estadisticas IPERIODO'!$M$5:$M$29,"1")</f>
        <v>2</v>
      </c>
      <c r="D5" s="56">
        <f t="shared" ref="D5:D13" si="0">C5/$C$14</f>
        <v>0.08</v>
      </c>
    </row>
    <row r="6" spans="2:4" x14ac:dyDescent="0.25">
      <c r="B6" s="55" t="s">
        <v>26</v>
      </c>
      <c r="C6">
        <f>COUNTIF('Estadisticas IPERIODO'!$M$5:$M$29,"2")</f>
        <v>3</v>
      </c>
      <c r="D6" s="56">
        <f t="shared" si="0"/>
        <v>0.12</v>
      </c>
    </row>
    <row r="7" spans="2:4" x14ac:dyDescent="0.25">
      <c r="B7" s="55" t="s">
        <v>27</v>
      </c>
      <c r="C7">
        <f>COUNTIF('Estadisticas IPERIODO'!$M$5:$M$29,"3")</f>
        <v>2</v>
      </c>
      <c r="D7" s="56">
        <f t="shared" si="0"/>
        <v>0.08</v>
      </c>
    </row>
    <row r="8" spans="2:4" x14ac:dyDescent="0.25">
      <c r="B8" s="55" t="s">
        <v>28</v>
      </c>
      <c r="C8">
        <f>COUNTIF('Estadisticas IPERIODO'!$M$5:$M$29,"4")</f>
        <v>3</v>
      </c>
      <c r="D8" s="56">
        <f t="shared" si="0"/>
        <v>0.12</v>
      </c>
    </row>
    <row r="9" spans="2:4" x14ac:dyDescent="0.25">
      <c r="B9" s="55" t="s">
        <v>29</v>
      </c>
      <c r="C9">
        <f>COUNTIF('Estadisticas IPERIODO'!$M$5:$M$29,"5")</f>
        <v>3</v>
      </c>
      <c r="D9" s="56">
        <f t="shared" si="0"/>
        <v>0.12</v>
      </c>
    </row>
    <row r="10" spans="2:4" x14ac:dyDescent="0.25">
      <c r="B10" s="55" t="s">
        <v>30</v>
      </c>
      <c r="C10">
        <f>COUNTIF('Estadisticas IPERIODO'!$M$5:$M$29,"6")</f>
        <v>0</v>
      </c>
      <c r="D10" s="56">
        <f t="shared" si="0"/>
        <v>0</v>
      </c>
    </row>
    <row r="11" spans="2:4" x14ac:dyDescent="0.25">
      <c r="B11" s="55" t="s">
        <v>31</v>
      </c>
      <c r="C11">
        <f>COUNTIF('Estadisticas IPERIODO'!$M$5:$M$29,"7")</f>
        <v>1</v>
      </c>
      <c r="D11" s="56">
        <f t="shared" si="0"/>
        <v>0.04</v>
      </c>
    </row>
    <row r="12" spans="2:4" x14ac:dyDescent="0.25">
      <c r="B12" s="55" t="s">
        <v>32</v>
      </c>
      <c r="C12">
        <f>COUNTIF('Estadisticas IPERIODO'!$M$5:$M$29,"8")</f>
        <v>0</v>
      </c>
      <c r="D12" s="56">
        <f t="shared" si="0"/>
        <v>0</v>
      </c>
    </row>
    <row r="13" spans="2:4" x14ac:dyDescent="0.25">
      <c r="B13" s="55" t="s">
        <v>33</v>
      </c>
      <c r="C13">
        <f>COUNTIF('Estadisticas IPERIODO'!$M$5:$M$29,"9")</f>
        <v>0</v>
      </c>
      <c r="D13" s="56">
        <f t="shared" si="0"/>
        <v>0</v>
      </c>
    </row>
    <row r="14" spans="2:4" x14ac:dyDescent="0.25">
      <c r="C14">
        <f>SUM(C4:C13)</f>
        <v>25</v>
      </c>
      <c r="D14" s="67">
        <f>SUM(D4:D13)</f>
        <v>1</v>
      </c>
    </row>
    <row r="25" spans="1:3" x14ac:dyDescent="0.25">
      <c r="A25" t="s">
        <v>138</v>
      </c>
      <c r="B25">
        <f>SUM(C4)</f>
        <v>11</v>
      </c>
      <c r="C25" s="67">
        <f>B25/$C$14</f>
        <v>0.44</v>
      </c>
    </row>
    <row r="26" spans="1:3" x14ac:dyDescent="0.25">
      <c r="A26" t="s">
        <v>139</v>
      </c>
      <c r="B26">
        <f>SUM(C5:C13)</f>
        <v>14</v>
      </c>
      <c r="C26" s="67">
        <f>B26/$C$14</f>
        <v>0.56000000000000005</v>
      </c>
    </row>
    <row r="40" spans="2:3" x14ac:dyDescent="0.25">
      <c r="B40">
        <f>SUM(C4:C6)</f>
        <v>16</v>
      </c>
      <c r="C40" s="56">
        <f>B40/$B$42</f>
        <v>0.64</v>
      </c>
    </row>
    <row r="41" spans="2:3" x14ac:dyDescent="0.25">
      <c r="B41">
        <f>SUM(C7:C13)</f>
        <v>9</v>
      </c>
      <c r="C41" s="56">
        <f>B41/$B$42</f>
        <v>0.36</v>
      </c>
    </row>
    <row r="42" spans="2:3" x14ac:dyDescent="0.25">
      <c r="B42">
        <f>SUM(B40:B41)</f>
        <v>25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B128-E03C-4859-9F93-4AE478878049}">
  <dimension ref="A1:BN59"/>
  <sheetViews>
    <sheetView topLeftCell="A2" zoomScale="82" zoomScaleNormal="82" workbookViewId="0">
      <pane xSplit="3" ySplit="2" topLeftCell="D4" activePane="bottomRight" state="frozenSplit"/>
      <selection activeCell="C46" sqref="C46"/>
      <selection pane="topRight" activeCell="C46" sqref="C46"/>
      <selection pane="bottomLeft" activeCell="C46" sqref="C46"/>
      <selection pane="bottomRight" activeCell="G4" sqref="G4"/>
    </sheetView>
  </sheetViews>
  <sheetFormatPr baseColWidth="10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7.85546875" bestFit="1" customWidth="1"/>
    <col min="6" max="6" width="7.7109375" customWidth="1"/>
    <col min="7" max="7" width="11" customWidth="1"/>
    <col min="8" max="8" width="8.140625" customWidth="1"/>
    <col min="9" max="10" width="8.85546875" bestFit="1" customWidth="1"/>
    <col min="11" max="11" width="9.28515625" bestFit="1" customWidth="1"/>
    <col min="12" max="12" width="8.28515625" bestFit="1" customWidth="1"/>
    <col min="13" max="13" width="8.28515625" customWidth="1"/>
    <col min="14" max="15" width="7.42578125" bestFit="1" customWidth="1"/>
    <col min="16" max="16" width="6.28515625" bestFit="1" customWidth="1"/>
    <col min="17" max="17" width="6.28515625" customWidth="1"/>
    <col min="18" max="18" width="5" bestFit="1" customWidth="1"/>
    <col min="19" max="19" width="5.7109375" bestFit="1" customWidth="1"/>
    <col min="20" max="20" width="6.7109375" bestFit="1" customWidth="1"/>
    <col min="21" max="21" width="5.140625" bestFit="1" customWidth="1"/>
    <col min="22" max="22" width="4.85546875" bestFit="1" customWidth="1"/>
    <col min="23" max="23" width="3.5703125" hidden="1" customWidth="1"/>
    <col min="24" max="24" width="0" hidden="1" customWidth="1"/>
    <col min="25" max="25" width="5" hidden="1" customWidth="1"/>
    <col min="26" max="26" width="45.85546875" hidden="1" customWidth="1"/>
    <col min="27" max="27" width="14" style="75" hidden="1" customWidth="1"/>
    <col min="28" max="28" width="18" style="75" hidden="1" customWidth="1"/>
    <col min="29" max="29" width="0" style="75" hidden="1" customWidth="1"/>
    <col min="30" max="30" width="19.7109375" style="75" hidden="1" customWidth="1"/>
    <col min="31" max="31" width="9.85546875" style="75" customWidth="1"/>
    <col min="32" max="40" width="11.42578125" style="75"/>
    <col min="41" max="41" width="15.5703125" style="75" bestFit="1" customWidth="1"/>
    <col min="42" max="66" width="11.42578125" style="75"/>
  </cols>
  <sheetData>
    <row r="1" spans="1:66" ht="15.75" thickBot="1" x14ac:dyDescent="0.3">
      <c r="A1" s="176" t="s">
        <v>17</v>
      </c>
      <c r="B1" s="177"/>
      <c r="C1" s="7" t="s">
        <v>185</v>
      </c>
      <c r="D1" s="7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  <c r="W1" s="180" t="s">
        <v>20</v>
      </c>
    </row>
    <row r="2" spans="1:66" ht="102" thickBot="1" x14ac:dyDescent="0.3">
      <c r="A2" s="107" t="s">
        <v>0</v>
      </c>
      <c r="B2" s="105" t="s">
        <v>1</v>
      </c>
      <c r="C2" s="108" t="s">
        <v>2</v>
      </c>
      <c r="D2" s="53" t="s">
        <v>127</v>
      </c>
      <c r="E2" s="99" t="s">
        <v>3</v>
      </c>
      <c r="F2" s="99" t="s">
        <v>4</v>
      </c>
      <c r="G2" s="53" t="s">
        <v>5</v>
      </c>
      <c r="H2" s="98" t="s">
        <v>167</v>
      </c>
      <c r="I2" s="98" t="s">
        <v>165</v>
      </c>
      <c r="J2" s="85" t="s">
        <v>6</v>
      </c>
      <c r="K2" s="85" t="s">
        <v>8</v>
      </c>
      <c r="L2" s="53" t="s">
        <v>126</v>
      </c>
      <c r="M2" s="99" t="s">
        <v>10</v>
      </c>
      <c r="N2" s="99" t="s">
        <v>11</v>
      </c>
      <c r="O2" s="99" t="s">
        <v>12</v>
      </c>
      <c r="P2" s="53" t="s">
        <v>128</v>
      </c>
      <c r="Q2" s="99" t="s">
        <v>13</v>
      </c>
      <c r="R2" s="99" t="s">
        <v>14</v>
      </c>
      <c r="S2" s="53" t="s">
        <v>125</v>
      </c>
      <c r="T2" s="103" t="s">
        <v>15</v>
      </c>
      <c r="U2" s="104" t="s">
        <v>16</v>
      </c>
      <c r="V2" s="84" t="s">
        <v>135</v>
      </c>
      <c r="W2" s="181"/>
      <c r="X2" s="92" t="s">
        <v>168</v>
      </c>
      <c r="Y2" s="93" t="s">
        <v>169</v>
      </c>
      <c r="Z2" s="94" t="s">
        <v>170</v>
      </c>
    </row>
    <row r="3" spans="1:66" ht="15.75" thickBot="1" x14ac:dyDescent="0.3">
      <c r="A3" s="100"/>
      <c r="B3" s="100"/>
      <c r="C3" s="117"/>
      <c r="D3" s="106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182"/>
      <c r="X3" s="78"/>
      <c r="Y3" s="78"/>
      <c r="Z3" s="78"/>
      <c r="AF3" s="75" t="s">
        <v>224</v>
      </c>
      <c r="AG3" s="75" t="s">
        <v>225</v>
      </c>
    </row>
    <row r="4" spans="1:66" s="73" customFormat="1" ht="16.5" thickBot="1" x14ac:dyDescent="0.3">
      <c r="A4" s="109">
        <v>1</v>
      </c>
      <c r="B4" s="113"/>
      <c r="C4" s="119" t="s">
        <v>187</v>
      </c>
      <c r="D4" s="115"/>
      <c r="E4" s="100" t="s">
        <v>49</v>
      </c>
      <c r="F4" s="100" t="s">
        <v>49</v>
      </c>
      <c r="G4" s="115"/>
      <c r="H4" s="100" t="s">
        <v>49</v>
      </c>
      <c r="I4" s="100" t="s">
        <v>49</v>
      </c>
      <c r="J4" s="115"/>
      <c r="K4" s="115"/>
      <c r="L4" s="115"/>
      <c r="M4" s="100"/>
      <c r="N4" s="100" t="s">
        <v>49</v>
      </c>
      <c r="O4" s="100"/>
      <c r="P4" s="115"/>
      <c r="Q4" s="100" t="s">
        <v>49</v>
      </c>
      <c r="R4" s="100" t="s">
        <v>49</v>
      </c>
      <c r="S4" s="115"/>
      <c r="T4" s="100" t="s">
        <v>49</v>
      </c>
      <c r="U4" s="100"/>
      <c r="V4" s="115"/>
      <c r="W4" s="76">
        <f>COUNTIF(D4:V4,"X")-X4</f>
        <v>8</v>
      </c>
      <c r="X4" s="78">
        <f>COUNTA(D4,G4,L4,P4,S4)</f>
        <v>0</v>
      </c>
      <c r="Y4" s="78">
        <f>COUNTA(J4,K4,V4)</f>
        <v>0</v>
      </c>
      <c r="Z4" s="78" t="str">
        <f>IF(AND(X4=0,Y4=0),"Felicitaciones por el buen rendimiento Académico",IF(AND(X4=1,Y4=1),"Pasas con logros Pendientes",IF(AND(X4=1,Y4=0),"Pasas con logros Pendientes",IF(AND(X4=0,Y4=1),"Pasas con logros Pendientes","Tu año esta en riesgo de perderse"))))</f>
        <v>Felicitaciones por el buen rendimiento Académico</v>
      </c>
      <c r="AA4" s="75">
        <f>X4+Y4</f>
        <v>0</v>
      </c>
      <c r="AB4" s="75"/>
      <c r="AC4" s="75"/>
      <c r="AD4" s="75"/>
      <c r="AE4" s="75"/>
      <c r="AF4" s="110">
        <f>COUNTIF(D4:V4,"X")</f>
        <v>8</v>
      </c>
      <c r="AG4" s="75">
        <v>3</v>
      </c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</row>
    <row r="5" spans="1:66" ht="16.5" thickBot="1" x14ac:dyDescent="0.3">
      <c r="A5" s="74">
        <v>2</v>
      </c>
      <c r="B5" s="114"/>
      <c r="C5" s="120" t="s">
        <v>188</v>
      </c>
      <c r="D5" s="115"/>
      <c r="E5" s="100"/>
      <c r="F5" s="100"/>
      <c r="G5" s="115"/>
      <c r="H5" s="100"/>
      <c r="I5" s="100"/>
      <c r="J5" s="115"/>
      <c r="K5" s="115"/>
      <c r="L5" s="115"/>
      <c r="M5" s="100"/>
      <c r="N5" s="100"/>
      <c r="O5" s="100"/>
      <c r="P5" s="115"/>
      <c r="Q5" s="100"/>
      <c r="R5" s="100" t="s">
        <v>49</v>
      </c>
      <c r="S5" s="115"/>
      <c r="T5" s="100"/>
      <c r="U5" s="100"/>
      <c r="V5" s="115"/>
      <c r="W5" s="76">
        <f t="shared" ref="W5:W40" si="0">COUNTIF(D5:V5,"X")-X5</f>
        <v>1</v>
      </c>
      <c r="X5" s="78">
        <f t="shared" ref="X5:X40" si="1">COUNTA(D5,G5,L5,P5,S5)</f>
        <v>0</v>
      </c>
      <c r="Y5" s="78">
        <f t="shared" ref="Y5:Y40" si="2">COUNTA(J5,K5,V5)</f>
        <v>0</v>
      </c>
      <c r="Z5" s="78" t="str">
        <f t="shared" ref="Z5:Z40" si="3">IF(AND(X5=0,Y5=0),"Felicitaciones por el buen rendimiento Académico",IF(AND(X5=1,Y5=1),"Pasas con logros Pendientes",IF(AND(X5=1,Y5=0),"Pasas con logros Pendientes",IF(AND(X5=0,Y5=1),"Pasas con logros Pendientes","Tu año esta en riesgo de perderse"))))</f>
        <v>Felicitaciones por el buen rendimiento Académico</v>
      </c>
      <c r="AA5" s="75">
        <f t="shared" ref="AA5:AA40" si="4">X5+Y5</f>
        <v>0</v>
      </c>
      <c r="AC5" s="83" t="s">
        <v>136</v>
      </c>
      <c r="AD5" s="83" t="s">
        <v>176</v>
      </c>
      <c r="AF5" s="110">
        <f t="shared" ref="AF5:AF41" si="5">COUNTIF(D5:V5,"X")</f>
        <v>1</v>
      </c>
      <c r="AG5" s="75">
        <v>1</v>
      </c>
    </row>
    <row r="6" spans="1:66" ht="16.5" thickBot="1" x14ac:dyDescent="0.3">
      <c r="A6" s="74">
        <v>3</v>
      </c>
      <c r="B6" s="114"/>
      <c r="C6" s="120" t="s">
        <v>189</v>
      </c>
      <c r="D6" s="115"/>
      <c r="E6" s="100"/>
      <c r="F6" s="100" t="s">
        <v>49</v>
      </c>
      <c r="G6" s="115"/>
      <c r="H6" s="100" t="s">
        <v>49</v>
      </c>
      <c r="I6" s="100" t="s">
        <v>49</v>
      </c>
      <c r="J6" s="115"/>
      <c r="K6" s="115"/>
      <c r="L6" s="115"/>
      <c r="M6" s="100"/>
      <c r="N6" s="100" t="s">
        <v>49</v>
      </c>
      <c r="O6" s="100" t="s">
        <v>49</v>
      </c>
      <c r="P6" s="115"/>
      <c r="Q6" s="100"/>
      <c r="R6" s="100" t="s">
        <v>49</v>
      </c>
      <c r="S6" s="115"/>
      <c r="T6" s="100" t="s">
        <v>49</v>
      </c>
      <c r="U6" s="100" t="s">
        <v>49</v>
      </c>
      <c r="V6" s="115"/>
      <c r="W6" s="76">
        <f t="shared" si="0"/>
        <v>8</v>
      </c>
      <c r="X6" s="78">
        <f>COUNTA(D6,G6,L6,P6,S6)</f>
        <v>0</v>
      </c>
      <c r="Y6" s="78">
        <f t="shared" si="2"/>
        <v>0</v>
      </c>
      <c r="Z6" s="78" t="str">
        <f t="shared" si="3"/>
        <v>Felicitaciones por el buen rendimiento Académico</v>
      </c>
      <c r="AA6" s="75">
        <f t="shared" si="4"/>
        <v>0</v>
      </c>
      <c r="AC6" s="82" t="s">
        <v>24</v>
      </c>
      <c r="AD6" s="79">
        <f>COUNTIF($AA$4:$AA$40,"0")</f>
        <v>26</v>
      </c>
      <c r="AF6" s="110">
        <f t="shared" si="5"/>
        <v>8</v>
      </c>
      <c r="AG6" s="75">
        <v>2</v>
      </c>
      <c r="AI6" t="s">
        <v>133</v>
      </c>
      <c r="AJ6" t="s">
        <v>134</v>
      </c>
      <c r="AK6" t="s">
        <v>47</v>
      </c>
      <c r="AN6" s="8" t="s">
        <v>22</v>
      </c>
      <c r="AO6" s="9" t="s">
        <v>23</v>
      </c>
    </row>
    <row r="7" spans="1:66" ht="16.5" thickBot="1" x14ac:dyDescent="0.3">
      <c r="A7" s="74">
        <v>4</v>
      </c>
      <c r="B7" s="114"/>
      <c r="C7" s="120" t="s">
        <v>190</v>
      </c>
      <c r="D7" s="115"/>
      <c r="E7" s="100"/>
      <c r="F7" s="100"/>
      <c r="G7" s="115"/>
      <c r="H7" s="100"/>
      <c r="I7" s="100"/>
      <c r="J7" s="115" t="s">
        <v>49</v>
      </c>
      <c r="K7" s="115"/>
      <c r="L7" s="115"/>
      <c r="M7" s="100"/>
      <c r="N7" s="100" t="s">
        <v>49</v>
      </c>
      <c r="O7" s="100" t="s">
        <v>49</v>
      </c>
      <c r="P7" s="115"/>
      <c r="Q7" s="100"/>
      <c r="R7" s="100"/>
      <c r="S7" s="115"/>
      <c r="T7" s="100" t="s">
        <v>49</v>
      </c>
      <c r="U7" s="100"/>
      <c r="V7" s="115" t="s">
        <v>49</v>
      </c>
      <c r="W7" s="76">
        <f t="shared" si="0"/>
        <v>5</v>
      </c>
      <c r="X7" s="78">
        <f t="shared" si="1"/>
        <v>0</v>
      </c>
      <c r="Y7" s="78">
        <f t="shared" si="2"/>
        <v>2</v>
      </c>
      <c r="Z7" s="78" t="str">
        <f t="shared" si="3"/>
        <v>Tu año esta en riesgo de perderse</v>
      </c>
      <c r="AA7" s="75">
        <f t="shared" si="4"/>
        <v>2</v>
      </c>
      <c r="AC7" s="82" t="s">
        <v>25</v>
      </c>
      <c r="AD7" s="79">
        <f>COUNTIF($AA$4:$AA$40,"1")</f>
        <v>5</v>
      </c>
      <c r="AF7" s="110">
        <f t="shared" si="5"/>
        <v>5</v>
      </c>
      <c r="AG7" s="75">
        <v>4</v>
      </c>
      <c r="AI7" s="55" t="s">
        <v>24</v>
      </c>
      <c r="AJ7">
        <f>COUNTIF($AG$4:$AG$39,"0")</f>
        <v>11</v>
      </c>
      <c r="AK7" s="56">
        <f>AJ7/$AJ$17</f>
        <v>0.30555555555555558</v>
      </c>
      <c r="AN7" s="22" t="s">
        <v>24</v>
      </c>
      <c r="AO7" s="23">
        <f>COUNTIF($AF$4:$AF$40,"0")</f>
        <v>7</v>
      </c>
    </row>
    <row r="8" spans="1:66" ht="16.5" thickBot="1" x14ac:dyDescent="0.3">
      <c r="A8" s="74">
        <v>5</v>
      </c>
      <c r="B8" s="114"/>
      <c r="C8" s="120" t="s">
        <v>191</v>
      </c>
      <c r="D8" s="115"/>
      <c r="E8" s="100"/>
      <c r="F8" s="100"/>
      <c r="G8" s="115"/>
      <c r="H8" s="100"/>
      <c r="I8" s="100"/>
      <c r="J8" s="115" t="s">
        <v>49</v>
      </c>
      <c r="K8" s="115"/>
      <c r="L8" s="115"/>
      <c r="M8" s="100"/>
      <c r="N8" s="100" t="s">
        <v>49</v>
      </c>
      <c r="O8" s="100" t="s">
        <v>49</v>
      </c>
      <c r="P8" s="115"/>
      <c r="Q8" s="100"/>
      <c r="R8" s="100"/>
      <c r="S8" s="115"/>
      <c r="T8" s="100"/>
      <c r="U8" s="100" t="s">
        <v>49</v>
      </c>
      <c r="V8" s="115" t="s">
        <v>49</v>
      </c>
      <c r="W8" s="76">
        <f t="shared" si="0"/>
        <v>5</v>
      </c>
      <c r="X8" s="78">
        <f t="shared" si="1"/>
        <v>0</v>
      </c>
      <c r="Y8" s="78">
        <f t="shared" si="2"/>
        <v>2</v>
      </c>
      <c r="Z8" s="78" t="str">
        <f>IF(AND(X8=0,Y8=0),"Felicitaciones por el buen rendimiento Académico",IF(AND(X8=1,Y8=1),"Pasas con logros Pendientes",IF(AND(X8=1,Y8=0),"Pasas con logros Pendientes",IF(AND(X8=0,Y8=1),"Pasas con logros Pendientes","Tu año esta en riesgo de perderse"))))</f>
        <v>Tu año esta en riesgo de perderse</v>
      </c>
      <c r="AA8" s="75">
        <f t="shared" si="4"/>
        <v>2</v>
      </c>
      <c r="AC8" s="82" t="s">
        <v>26</v>
      </c>
      <c r="AD8" s="79">
        <f>COUNTIF($AA$4:$AA$40,"2")</f>
        <v>4</v>
      </c>
      <c r="AF8" s="110">
        <f t="shared" si="5"/>
        <v>5</v>
      </c>
      <c r="AG8" s="75">
        <v>3</v>
      </c>
      <c r="AI8" s="55" t="s">
        <v>25</v>
      </c>
      <c r="AJ8">
        <f>COUNTIF($AG$4:$AG$39,"1")</f>
        <v>10</v>
      </c>
      <c r="AK8" s="56">
        <f t="shared" ref="AK8:AK15" si="6">AJ8/$AJ$17</f>
        <v>0.27777777777777779</v>
      </c>
      <c r="AN8" s="22" t="s">
        <v>25</v>
      </c>
      <c r="AO8" s="23">
        <f>COUNTIF($AF$4:$AF$40,"1")</f>
        <v>4</v>
      </c>
    </row>
    <row r="9" spans="1:66" ht="16.5" thickBot="1" x14ac:dyDescent="0.3">
      <c r="A9" s="74">
        <v>6</v>
      </c>
      <c r="B9" s="114"/>
      <c r="C9" s="120" t="s">
        <v>192</v>
      </c>
      <c r="D9" s="115"/>
      <c r="E9" s="100"/>
      <c r="F9" s="100"/>
      <c r="G9" s="115"/>
      <c r="H9" s="100"/>
      <c r="I9" s="100"/>
      <c r="J9" s="115"/>
      <c r="K9" s="115"/>
      <c r="L9" s="115"/>
      <c r="M9" s="100"/>
      <c r="N9" s="100"/>
      <c r="O9" s="100"/>
      <c r="P9" s="115"/>
      <c r="Q9" s="100"/>
      <c r="R9" s="100"/>
      <c r="S9" s="115"/>
      <c r="T9" s="100"/>
      <c r="U9" s="100"/>
      <c r="V9" s="115"/>
      <c r="W9" s="76">
        <f t="shared" si="0"/>
        <v>0</v>
      </c>
      <c r="X9" s="78">
        <f t="shared" si="1"/>
        <v>0</v>
      </c>
      <c r="Y9" s="78">
        <f t="shared" si="2"/>
        <v>0</v>
      </c>
      <c r="Z9" s="78" t="str">
        <f t="shared" si="3"/>
        <v>Felicitaciones por el buen rendimiento Académico</v>
      </c>
      <c r="AA9" s="75">
        <f t="shared" si="4"/>
        <v>0</v>
      </c>
      <c r="AC9" s="82" t="s">
        <v>27</v>
      </c>
      <c r="AD9" s="79">
        <f>COUNTIF($AA$4:$AA$40,"3")</f>
        <v>2</v>
      </c>
      <c r="AF9" s="110">
        <f t="shared" si="5"/>
        <v>0</v>
      </c>
      <c r="AG9" s="75">
        <v>0</v>
      </c>
      <c r="AI9" s="55" t="s">
        <v>26</v>
      </c>
      <c r="AJ9">
        <f>COUNTIF($AG$4:$AG$39,"2")</f>
        <v>6</v>
      </c>
      <c r="AK9" s="56">
        <f t="shared" si="6"/>
        <v>0.16666666666666666</v>
      </c>
      <c r="AN9" s="22" t="s">
        <v>26</v>
      </c>
      <c r="AO9" s="23">
        <f>COUNTIF($AF$4:$AF$40,"2")</f>
        <v>4</v>
      </c>
    </row>
    <row r="10" spans="1:66" ht="16.5" thickBot="1" x14ac:dyDescent="0.3">
      <c r="A10" s="74">
        <v>7</v>
      </c>
      <c r="B10" s="114"/>
      <c r="C10" s="120" t="s">
        <v>222</v>
      </c>
      <c r="D10" s="115"/>
      <c r="E10" s="100"/>
      <c r="F10" s="100" t="s">
        <v>49</v>
      </c>
      <c r="G10" s="115"/>
      <c r="H10" s="100"/>
      <c r="I10" s="100"/>
      <c r="J10" s="115"/>
      <c r="K10" s="115"/>
      <c r="L10" s="115"/>
      <c r="M10" s="100"/>
      <c r="N10" s="100"/>
      <c r="O10" s="100"/>
      <c r="P10" s="115"/>
      <c r="Q10" s="100"/>
      <c r="R10" s="100"/>
      <c r="S10" s="115"/>
      <c r="T10" s="100"/>
      <c r="U10" s="100"/>
      <c r="V10" s="115"/>
      <c r="W10" s="76">
        <f t="shared" si="0"/>
        <v>1</v>
      </c>
      <c r="X10" s="78">
        <f t="shared" si="1"/>
        <v>0</v>
      </c>
      <c r="Y10" s="78">
        <f t="shared" si="2"/>
        <v>0</v>
      </c>
      <c r="Z10" s="78" t="str">
        <f t="shared" si="3"/>
        <v>Felicitaciones por el buen rendimiento Académico</v>
      </c>
      <c r="AA10" s="75">
        <f t="shared" si="4"/>
        <v>0</v>
      </c>
      <c r="AC10" s="82" t="s">
        <v>28</v>
      </c>
      <c r="AD10" s="79">
        <f>COUNTIF($AA$4:$AA$40,"4")</f>
        <v>0</v>
      </c>
      <c r="AF10" s="110">
        <f t="shared" si="5"/>
        <v>1</v>
      </c>
      <c r="AG10" s="75">
        <v>0</v>
      </c>
      <c r="AI10" s="55" t="s">
        <v>27</v>
      </c>
      <c r="AJ10">
        <f>COUNTIF($AG$4:$AG$39,"3")</f>
        <v>3</v>
      </c>
      <c r="AK10" s="56">
        <f t="shared" si="6"/>
        <v>8.3333333333333329E-2</v>
      </c>
      <c r="AN10" s="22" t="s">
        <v>27</v>
      </c>
      <c r="AO10" s="23">
        <f>COUNTIF($AF$4:$AF$40,"3")</f>
        <v>3</v>
      </c>
    </row>
    <row r="11" spans="1:66" ht="16.5" thickBot="1" x14ac:dyDescent="0.3">
      <c r="A11" s="74">
        <v>8</v>
      </c>
      <c r="B11" s="114"/>
      <c r="C11" s="121" t="s">
        <v>193</v>
      </c>
      <c r="D11" s="115"/>
      <c r="E11" s="100" t="s">
        <v>49</v>
      </c>
      <c r="F11" s="100" t="s">
        <v>49</v>
      </c>
      <c r="G11" s="115"/>
      <c r="H11" s="100" t="s">
        <v>49</v>
      </c>
      <c r="I11" s="100" t="s">
        <v>49</v>
      </c>
      <c r="J11" s="115"/>
      <c r="K11" s="115" t="s">
        <v>49</v>
      </c>
      <c r="L11" s="115"/>
      <c r="M11" s="100"/>
      <c r="N11" s="100" t="s">
        <v>49</v>
      </c>
      <c r="O11" s="100" t="s">
        <v>49</v>
      </c>
      <c r="P11" s="115"/>
      <c r="Q11" s="100" t="s">
        <v>49</v>
      </c>
      <c r="R11" s="100" t="s">
        <v>49</v>
      </c>
      <c r="S11" s="115"/>
      <c r="T11" s="100"/>
      <c r="U11" s="100" t="s">
        <v>49</v>
      </c>
      <c r="V11" s="115" t="s">
        <v>49</v>
      </c>
      <c r="W11" s="76">
        <f t="shared" si="0"/>
        <v>11</v>
      </c>
      <c r="X11" s="78">
        <f t="shared" si="1"/>
        <v>0</v>
      </c>
      <c r="Y11" s="78">
        <f t="shared" si="2"/>
        <v>2</v>
      </c>
      <c r="Z11" s="78" t="str">
        <f t="shared" si="3"/>
        <v>Tu año esta en riesgo de perderse</v>
      </c>
      <c r="AA11" s="75">
        <f t="shared" si="4"/>
        <v>2</v>
      </c>
      <c r="AC11" s="82" t="s">
        <v>29</v>
      </c>
      <c r="AD11" s="79">
        <f>COUNTIF($AA$4:$AA$40,"5")</f>
        <v>0</v>
      </c>
      <c r="AF11" s="110">
        <f t="shared" si="5"/>
        <v>11</v>
      </c>
      <c r="AG11" s="75">
        <v>5</v>
      </c>
      <c r="AI11" s="55" t="s">
        <v>28</v>
      </c>
      <c r="AJ11">
        <f>COUNTIF($AG$4:$AG$39,"4")</f>
        <v>2</v>
      </c>
      <c r="AK11" s="56">
        <f t="shared" si="6"/>
        <v>5.5555555555555552E-2</v>
      </c>
      <c r="AN11" s="22" t="s">
        <v>28</v>
      </c>
      <c r="AO11" s="23">
        <f>COUNTIF($AF$4:$AF$40,"4")</f>
        <v>3</v>
      </c>
    </row>
    <row r="12" spans="1:66" ht="16.5" thickBot="1" x14ac:dyDescent="0.3">
      <c r="A12" s="74">
        <v>9</v>
      </c>
      <c r="B12" s="114"/>
      <c r="C12" s="120" t="s">
        <v>194</v>
      </c>
      <c r="D12" s="115"/>
      <c r="E12" s="100"/>
      <c r="F12" s="100" t="s">
        <v>49</v>
      </c>
      <c r="G12" s="115"/>
      <c r="H12" s="100"/>
      <c r="I12" s="100"/>
      <c r="J12" s="115"/>
      <c r="K12" s="115"/>
      <c r="L12" s="115"/>
      <c r="M12" s="100"/>
      <c r="N12" s="100"/>
      <c r="O12" s="100" t="s">
        <v>49</v>
      </c>
      <c r="P12" s="115"/>
      <c r="Q12" s="100"/>
      <c r="R12" s="100"/>
      <c r="S12" s="115"/>
      <c r="T12" s="100"/>
      <c r="U12" s="100"/>
      <c r="V12" s="115"/>
      <c r="W12" s="76">
        <f t="shared" si="0"/>
        <v>2</v>
      </c>
      <c r="X12" s="78">
        <f t="shared" si="1"/>
        <v>0</v>
      </c>
      <c r="Y12" s="78">
        <f t="shared" si="2"/>
        <v>0</v>
      </c>
      <c r="Z12" s="78" t="str">
        <f t="shared" si="3"/>
        <v>Felicitaciones por el buen rendimiento Académico</v>
      </c>
      <c r="AA12" s="75">
        <f t="shared" si="4"/>
        <v>0</v>
      </c>
      <c r="AC12" s="82" t="s">
        <v>30</v>
      </c>
      <c r="AD12" s="79">
        <f>COUNTIF($AA$4:$AA$40,"6")</f>
        <v>0</v>
      </c>
      <c r="AF12" s="110">
        <f t="shared" si="5"/>
        <v>2</v>
      </c>
      <c r="AG12" s="75">
        <v>0</v>
      </c>
      <c r="AI12" s="55" t="s">
        <v>29</v>
      </c>
      <c r="AJ12">
        <f>COUNTIF($AG$4:$AG$39,"5")</f>
        <v>3</v>
      </c>
      <c r="AK12" s="56">
        <f t="shared" si="6"/>
        <v>8.3333333333333329E-2</v>
      </c>
      <c r="AN12" s="22" t="s">
        <v>29</v>
      </c>
      <c r="AO12" s="23">
        <f>COUNTIF($AF$4:$AF$40,"5")</f>
        <v>7</v>
      </c>
    </row>
    <row r="13" spans="1:66" ht="16.5" thickBot="1" x14ac:dyDescent="0.3">
      <c r="A13" s="74">
        <v>10</v>
      </c>
      <c r="B13" s="114"/>
      <c r="C13" s="120" t="s">
        <v>195</v>
      </c>
      <c r="D13" s="115"/>
      <c r="E13" s="100"/>
      <c r="F13" s="100"/>
      <c r="G13" s="115"/>
      <c r="H13" s="100"/>
      <c r="I13" s="100"/>
      <c r="J13" s="115"/>
      <c r="K13" s="115"/>
      <c r="L13" s="115"/>
      <c r="M13" s="100"/>
      <c r="N13" s="100"/>
      <c r="O13" s="100"/>
      <c r="P13" s="115"/>
      <c r="Q13" s="100"/>
      <c r="R13" s="100"/>
      <c r="S13" s="115"/>
      <c r="T13" s="100"/>
      <c r="U13" s="100"/>
      <c r="V13" s="115"/>
      <c r="W13" s="76">
        <f t="shared" si="0"/>
        <v>0</v>
      </c>
      <c r="X13" s="78">
        <f t="shared" si="1"/>
        <v>0</v>
      </c>
      <c r="Y13" s="78">
        <f t="shared" si="2"/>
        <v>0</v>
      </c>
      <c r="Z13" s="78" t="str">
        <f t="shared" si="3"/>
        <v>Felicitaciones por el buen rendimiento Académico</v>
      </c>
      <c r="AA13" s="75">
        <f t="shared" si="4"/>
        <v>0</v>
      </c>
      <c r="AC13" s="82" t="s">
        <v>31</v>
      </c>
      <c r="AD13" s="79">
        <f>COUNTIF($AA$4:$AA$40,"7")</f>
        <v>0</v>
      </c>
      <c r="AF13" s="110">
        <f t="shared" si="5"/>
        <v>0</v>
      </c>
      <c r="AG13" s="75">
        <v>0</v>
      </c>
      <c r="AI13" s="55" t="s">
        <v>30</v>
      </c>
      <c r="AJ13">
        <f>COUNTIF($AG$4:$AG$39,"6")</f>
        <v>0</v>
      </c>
      <c r="AK13" s="56">
        <f t="shared" si="6"/>
        <v>0</v>
      </c>
      <c r="AN13" s="22" t="s">
        <v>30</v>
      </c>
      <c r="AO13" s="23">
        <f>COUNTIF($AF$4:$AF$40,"6")</f>
        <v>1</v>
      </c>
    </row>
    <row r="14" spans="1:66" ht="16.5" thickBot="1" x14ac:dyDescent="0.3">
      <c r="A14" s="74">
        <v>11</v>
      </c>
      <c r="B14" s="114"/>
      <c r="C14" s="120" t="s">
        <v>196</v>
      </c>
      <c r="D14" s="115"/>
      <c r="E14" s="100"/>
      <c r="F14" s="100"/>
      <c r="G14" s="115"/>
      <c r="H14" s="100"/>
      <c r="I14" s="100"/>
      <c r="J14" s="115"/>
      <c r="K14" s="115"/>
      <c r="L14" s="115"/>
      <c r="M14" s="100"/>
      <c r="N14" s="100"/>
      <c r="O14" s="100"/>
      <c r="P14" s="115"/>
      <c r="Q14" s="100"/>
      <c r="R14" s="100"/>
      <c r="S14" s="115"/>
      <c r="T14" s="100"/>
      <c r="U14" s="100"/>
      <c r="V14" s="115"/>
      <c r="W14" s="76">
        <f t="shared" si="0"/>
        <v>0</v>
      </c>
      <c r="X14" s="78">
        <f t="shared" si="1"/>
        <v>0</v>
      </c>
      <c r="Y14" s="78">
        <f t="shared" si="2"/>
        <v>0</v>
      </c>
      <c r="Z14" s="78" t="str">
        <f t="shared" si="3"/>
        <v>Felicitaciones por el buen rendimiento Académico</v>
      </c>
      <c r="AA14" s="75">
        <f t="shared" si="4"/>
        <v>0</v>
      </c>
      <c r="AC14" s="82" t="s">
        <v>32</v>
      </c>
      <c r="AD14" s="79">
        <f>COUNTIF($AA$4:$AA$40,"8")</f>
        <v>0</v>
      </c>
      <c r="AF14" s="110">
        <f t="shared" si="5"/>
        <v>0</v>
      </c>
      <c r="AG14" s="75">
        <v>0</v>
      </c>
      <c r="AI14" s="55" t="s">
        <v>31</v>
      </c>
      <c r="AJ14">
        <f>COUNTIF($AG$4:$AG$39,"7")</f>
        <v>1</v>
      </c>
      <c r="AK14" s="56">
        <f t="shared" si="6"/>
        <v>2.7777777777777776E-2</v>
      </c>
      <c r="AN14" s="22" t="s">
        <v>31</v>
      </c>
      <c r="AO14" s="23">
        <f>COUNTIF($AF$4:$AF$40,"7")</f>
        <v>1</v>
      </c>
    </row>
    <row r="15" spans="1:66" ht="16.5" thickBot="1" x14ac:dyDescent="0.3">
      <c r="A15" s="74">
        <v>12</v>
      </c>
      <c r="B15" s="114"/>
      <c r="C15" s="120" t="s">
        <v>197</v>
      </c>
      <c r="D15" s="115"/>
      <c r="E15" s="100"/>
      <c r="F15" s="100" t="s">
        <v>49</v>
      </c>
      <c r="G15" s="115"/>
      <c r="H15" s="100"/>
      <c r="I15" s="100"/>
      <c r="J15" s="115"/>
      <c r="K15" s="115"/>
      <c r="L15" s="115"/>
      <c r="M15" s="100"/>
      <c r="N15" s="100"/>
      <c r="O15" s="100" t="s">
        <v>49</v>
      </c>
      <c r="P15" s="115"/>
      <c r="Q15" s="100"/>
      <c r="R15" s="100" t="s">
        <v>49</v>
      </c>
      <c r="S15" s="115"/>
      <c r="T15" s="100"/>
      <c r="U15" s="100"/>
      <c r="V15" s="115"/>
      <c r="W15" s="76">
        <f t="shared" si="0"/>
        <v>3</v>
      </c>
      <c r="X15" s="78">
        <f t="shared" si="1"/>
        <v>0</v>
      </c>
      <c r="Y15" s="78">
        <f t="shared" si="2"/>
        <v>0</v>
      </c>
      <c r="Z15" s="78" t="str">
        <f t="shared" si="3"/>
        <v>Felicitaciones por el buen rendimiento Académico</v>
      </c>
      <c r="AA15" s="75">
        <f t="shared" si="4"/>
        <v>0</v>
      </c>
      <c r="AC15" s="81"/>
      <c r="AF15" s="110">
        <f t="shared" si="5"/>
        <v>3</v>
      </c>
      <c r="AG15" s="75">
        <v>1</v>
      </c>
      <c r="AI15" s="55" t="s">
        <v>32</v>
      </c>
      <c r="AJ15">
        <f>COUNTIF($AG$4:$AG$39,"8")</f>
        <v>0</v>
      </c>
      <c r="AK15" s="56">
        <f t="shared" si="6"/>
        <v>0</v>
      </c>
      <c r="AN15" s="22" t="s">
        <v>32</v>
      </c>
      <c r="AO15" s="23">
        <f>COUNTIF($AF$4:$AF$40,"8")</f>
        <v>2</v>
      </c>
    </row>
    <row r="16" spans="1:66" s="73" customFormat="1" ht="15.75" thickBot="1" x14ac:dyDescent="0.3">
      <c r="A16" s="74">
        <v>13</v>
      </c>
      <c r="B16" s="114"/>
      <c r="C16" s="120" t="s">
        <v>198</v>
      </c>
      <c r="D16" s="115"/>
      <c r="E16" s="100" t="s">
        <v>49</v>
      </c>
      <c r="F16" s="100"/>
      <c r="G16" s="115"/>
      <c r="H16" s="100" t="s">
        <v>49</v>
      </c>
      <c r="I16" s="100" t="s">
        <v>49</v>
      </c>
      <c r="J16" s="115" t="s">
        <v>49</v>
      </c>
      <c r="K16" s="115" t="s">
        <v>49</v>
      </c>
      <c r="L16" s="115"/>
      <c r="M16" s="100"/>
      <c r="N16" s="100"/>
      <c r="O16" s="100" t="s">
        <v>49</v>
      </c>
      <c r="P16" s="115"/>
      <c r="Q16" s="100" t="s">
        <v>49</v>
      </c>
      <c r="R16" s="100" t="s">
        <v>49</v>
      </c>
      <c r="S16" s="115"/>
      <c r="T16" s="100" t="s">
        <v>49</v>
      </c>
      <c r="U16" s="100"/>
      <c r="V16" s="115" t="s">
        <v>49</v>
      </c>
      <c r="W16" s="77">
        <f t="shared" si="0"/>
        <v>10</v>
      </c>
      <c r="X16" s="78">
        <f t="shared" si="1"/>
        <v>0</v>
      </c>
      <c r="Y16" s="78">
        <f t="shared" si="2"/>
        <v>3</v>
      </c>
      <c r="Z16" s="78" t="str">
        <f t="shared" si="3"/>
        <v>Tu año esta en riesgo de perderse</v>
      </c>
      <c r="AA16" s="75">
        <f t="shared" si="4"/>
        <v>3</v>
      </c>
      <c r="AB16" s="75"/>
      <c r="AC16" s="81"/>
      <c r="AD16" s="75"/>
      <c r="AE16" s="75"/>
      <c r="AF16" s="110">
        <f t="shared" si="5"/>
        <v>10</v>
      </c>
      <c r="AG16" s="75">
        <v>5</v>
      </c>
      <c r="AH16" s="75"/>
      <c r="AI16" s="55"/>
      <c r="AJ16"/>
      <c r="AK16" s="56"/>
      <c r="AL16" s="75"/>
      <c r="AM16" s="75"/>
      <c r="AN16" s="22" t="s">
        <v>33</v>
      </c>
      <c r="AO16" s="23">
        <f>COUNTIF($AF$4:$AF$40,"9")</f>
        <v>2</v>
      </c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</row>
    <row r="17" spans="1:66" s="73" customFormat="1" ht="15.75" thickBot="1" x14ac:dyDescent="0.3">
      <c r="A17" s="74">
        <v>14</v>
      </c>
      <c r="B17" s="114"/>
      <c r="C17" s="122" t="s">
        <v>199</v>
      </c>
      <c r="D17" s="115"/>
      <c r="E17" s="100" t="s">
        <v>49</v>
      </c>
      <c r="F17" s="100" t="s">
        <v>49</v>
      </c>
      <c r="G17" s="115"/>
      <c r="H17" s="100"/>
      <c r="I17" s="100"/>
      <c r="J17" s="115"/>
      <c r="K17" s="115"/>
      <c r="L17" s="115"/>
      <c r="M17" s="100"/>
      <c r="N17" s="100" t="s">
        <v>49</v>
      </c>
      <c r="O17" s="100" t="s">
        <v>49</v>
      </c>
      <c r="P17" s="115"/>
      <c r="Q17" s="100" t="s">
        <v>49</v>
      </c>
      <c r="R17" s="100" t="s">
        <v>49</v>
      </c>
      <c r="S17" s="115"/>
      <c r="T17" s="100" t="s">
        <v>49</v>
      </c>
      <c r="U17" s="100" t="s">
        <v>49</v>
      </c>
      <c r="V17" s="115" t="s">
        <v>49</v>
      </c>
      <c r="W17" s="77"/>
      <c r="X17" s="78">
        <f t="shared" si="1"/>
        <v>0</v>
      </c>
      <c r="Y17" s="78">
        <f t="shared" si="2"/>
        <v>1</v>
      </c>
      <c r="Z17" s="78" t="str">
        <f t="shared" si="3"/>
        <v>Pasas con logros Pendientes</v>
      </c>
      <c r="AA17" s="75">
        <f t="shared" si="4"/>
        <v>1</v>
      </c>
      <c r="AB17" s="75"/>
      <c r="AC17" s="81"/>
      <c r="AD17" s="75"/>
      <c r="AE17" s="75"/>
      <c r="AF17" s="110">
        <f t="shared" si="5"/>
        <v>9</v>
      </c>
      <c r="AG17" s="75">
        <v>5</v>
      </c>
      <c r="AH17" s="75"/>
      <c r="AI17"/>
      <c r="AJ17">
        <f>SUM(AJ7:AJ16)</f>
        <v>36</v>
      </c>
      <c r="AK17"/>
      <c r="AL17" s="75"/>
      <c r="AM17" s="75"/>
      <c r="AN17" s="22" t="s">
        <v>34</v>
      </c>
      <c r="AO17" s="23">
        <f>COUNTIF($AF$4:$AF$40,"10")</f>
        <v>1</v>
      </c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</row>
    <row r="18" spans="1:66" ht="16.5" thickBot="1" x14ac:dyDescent="0.3">
      <c r="A18" s="74">
        <v>15</v>
      </c>
      <c r="B18" s="114"/>
      <c r="C18" s="120" t="s">
        <v>200</v>
      </c>
      <c r="D18" s="115"/>
      <c r="E18" s="100"/>
      <c r="F18" s="100"/>
      <c r="G18" s="115"/>
      <c r="H18" s="100"/>
      <c r="I18" s="100"/>
      <c r="J18" s="115"/>
      <c r="K18" s="115"/>
      <c r="L18" s="115"/>
      <c r="M18" s="100"/>
      <c r="N18" s="100"/>
      <c r="O18" s="100" t="s">
        <v>49</v>
      </c>
      <c r="P18" s="115"/>
      <c r="Q18" s="100"/>
      <c r="R18" s="100"/>
      <c r="S18" s="115"/>
      <c r="T18" s="100" t="s">
        <v>49</v>
      </c>
      <c r="U18" s="100" t="s">
        <v>49</v>
      </c>
      <c r="V18" s="115"/>
      <c r="W18" s="76">
        <f t="shared" si="0"/>
        <v>3</v>
      </c>
      <c r="X18" s="78">
        <f t="shared" si="1"/>
        <v>0</v>
      </c>
      <c r="Y18" s="78">
        <f t="shared" si="2"/>
        <v>0</v>
      </c>
      <c r="Z18" s="78" t="str">
        <f t="shared" si="3"/>
        <v>Felicitaciones por el buen rendimiento Académico</v>
      </c>
      <c r="AA18" s="75">
        <f t="shared" si="4"/>
        <v>0</v>
      </c>
      <c r="AF18" s="110">
        <f t="shared" si="5"/>
        <v>3</v>
      </c>
      <c r="AG18" s="75">
        <v>1</v>
      </c>
      <c r="AN18" s="22" t="s">
        <v>35</v>
      </c>
      <c r="AO18" s="23">
        <f>COUNTIF($AF$4:$AF$40,"11")</f>
        <v>2</v>
      </c>
    </row>
    <row r="19" spans="1:66" ht="16.5" thickBot="1" x14ac:dyDescent="0.3">
      <c r="A19" s="74">
        <v>16</v>
      </c>
      <c r="B19" s="114"/>
      <c r="C19" s="120" t="s">
        <v>201</v>
      </c>
      <c r="D19" s="115"/>
      <c r="E19" s="100"/>
      <c r="F19" s="100"/>
      <c r="G19" s="115"/>
      <c r="H19" s="100"/>
      <c r="I19" s="100"/>
      <c r="J19" s="115"/>
      <c r="K19" s="115"/>
      <c r="L19" s="115"/>
      <c r="M19" s="100"/>
      <c r="N19" s="100"/>
      <c r="O19" s="100"/>
      <c r="P19" s="115"/>
      <c r="Q19" s="100"/>
      <c r="R19" s="100"/>
      <c r="S19" s="115"/>
      <c r="T19" s="100"/>
      <c r="U19" s="100"/>
      <c r="V19" s="115" t="s">
        <v>49</v>
      </c>
      <c r="W19" s="76">
        <f t="shared" si="0"/>
        <v>1</v>
      </c>
      <c r="X19" s="78">
        <f t="shared" si="1"/>
        <v>0</v>
      </c>
      <c r="Y19" s="78">
        <f t="shared" si="2"/>
        <v>1</v>
      </c>
      <c r="Z19" s="78" t="str">
        <f t="shared" si="3"/>
        <v>Pasas con logros Pendientes</v>
      </c>
      <c r="AA19" s="75">
        <f t="shared" si="4"/>
        <v>1</v>
      </c>
      <c r="AF19" s="110">
        <f t="shared" si="5"/>
        <v>1</v>
      </c>
      <c r="AG19" s="75">
        <v>1</v>
      </c>
      <c r="AN19" s="22" t="s">
        <v>36</v>
      </c>
      <c r="AO19" s="23">
        <f>COUNTIF($AF$4:$AF$40,"12")</f>
        <v>0</v>
      </c>
    </row>
    <row r="20" spans="1:66" ht="16.5" thickBot="1" x14ac:dyDescent="0.3">
      <c r="A20" s="74">
        <v>17</v>
      </c>
      <c r="B20" s="114"/>
      <c r="C20" s="120" t="s">
        <v>202</v>
      </c>
      <c r="D20" s="115"/>
      <c r="E20" s="100"/>
      <c r="F20" s="100"/>
      <c r="G20" s="115"/>
      <c r="H20" s="100"/>
      <c r="I20" s="100"/>
      <c r="J20" s="115"/>
      <c r="K20" s="115"/>
      <c r="L20" s="115"/>
      <c r="M20" s="100"/>
      <c r="N20" s="100"/>
      <c r="O20" s="100"/>
      <c r="P20" s="115"/>
      <c r="Q20" s="100"/>
      <c r="R20" s="100"/>
      <c r="S20" s="115"/>
      <c r="T20" s="100"/>
      <c r="U20" s="100"/>
      <c r="V20" s="115"/>
      <c r="W20" s="76">
        <f t="shared" si="0"/>
        <v>0</v>
      </c>
      <c r="X20" s="78">
        <f t="shared" si="1"/>
        <v>0</v>
      </c>
      <c r="Y20" s="78">
        <f t="shared" si="2"/>
        <v>0</v>
      </c>
      <c r="Z20" s="78" t="str">
        <f t="shared" si="3"/>
        <v>Felicitaciones por el buen rendimiento Académico</v>
      </c>
      <c r="AA20" s="75">
        <f t="shared" si="4"/>
        <v>0</v>
      </c>
      <c r="AF20" s="110">
        <f t="shared" si="5"/>
        <v>0</v>
      </c>
      <c r="AG20" s="75">
        <v>0</v>
      </c>
      <c r="AN20" s="22" t="s">
        <v>37</v>
      </c>
      <c r="AO20" s="23">
        <f>COUNTIF($AF$4:$AF$40,"13")</f>
        <v>0</v>
      </c>
    </row>
    <row r="21" spans="1:66" ht="16.5" thickBot="1" x14ac:dyDescent="0.3">
      <c r="A21" s="74">
        <v>18</v>
      </c>
      <c r="B21" s="114"/>
      <c r="C21" s="120" t="s">
        <v>223</v>
      </c>
      <c r="D21" s="115"/>
      <c r="E21" s="100"/>
      <c r="F21" s="100"/>
      <c r="G21" s="115"/>
      <c r="H21" s="100" t="s">
        <v>221</v>
      </c>
      <c r="I21" s="100" t="s">
        <v>221</v>
      </c>
      <c r="J21" s="115"/>
      <c r="K21" s="115"/>
      <c r="L21" s="115"/>
      <c r="M21" s="100"/>
      <c r="N21" s="100"/>
      <c r="O21" s="100" t="s">
        <v>49</v>
      </c>
      <c r="P21" s="115"/>
      <c r="Q21" s="100" t="s">
        <v>49</v>
      </c>
      <c r="R21" s="100"/>
      <c r="S21" s="115"/>
      <c r="T21" s="100"/>
      <c r="U21" s="100" t="s">
        <v>49</v>
      </c>
      <c r="V21" s="115"/>
      <c r="W21" s="76">
        <f t="shared" si="0"/>
        <v>5</v>
      </c>
      <c r="X21" s="78">
        <f t="shared" si="1"/>
        <v>0</v>
      </c>
      <c r="Y21" s="78">
        <f t="shared" si="2"/>
        <v>0</v>
      </c>
      <c r="Z21" s="78" t="str">
        <f t="shared" si="3"/>
        <v>Felicitaciones por el buen rendimiento Académico</v>
      </c>
      <c r="AA21" s="75">
        <f t="shared" si="4"/>
        <v>0</v>
      </c>
      <c r="AF21" s="110">
        <f t="shared" si="5"/>
        <v>5</v>
      </c>
      <c r="AG21" s="75">
        <v>0</v>
      </c>
      <c r="AN21" s="22" t="s">
        <v>38</v>
      </c>
      <c r="AO21" s="23">
        <f>COUNTIF($AF$4:$AF$40,"14")</f>
        <v>0</v>
      </c>
    </row>
    <row r="22" spans="1:66" ht="16.5" thickBot="1" x14ac:dyDescent="0.3">
      <c r="A22" s="74">
        <v>19</v>
      </c>
      <c r="B22" s="114"/>
      <c r="C22" s="123" t="s">
        <v>203</v>
      </c>
      <c r="D22" s="115"/>
      <c r="E22" s="100" t="s">
        <v>49</v>
      </c>
      <c r="F22" s="100"/>
      <c r="G22" s="115"/>
      <c r="H22" s="100" t="s">
        <v>49</v>
      </c>
      <c r="I22" s="100" t="s">
        <v>49</v>
      </c>
      <c r="J22" s="115" t="s">
        <v>49</v>
      </c>
      <c r="K22" s="115"/>
      <c r="L22" s="115"/>
      <c r="M22" s="100"/>
      <c r="N22" s="100" t="s">
        <v>49</v>
      </c>
      <c r="O22" s="100"/>
      <c r="P22" s="115"/>
      <c r="Q22" s="100" t="s">
        <v>49</v>
      </c>
      <c r="R22" s="100"/>
      <c r="S22" s="115"/>
      <c r="T22" s="100" t="s">
        <v>49</v>
      </c>
      <c r="U22" s="100" t="s">
        <v>49</v>
      </c>
      <c r="V22" s="115" t="s">
        <v>49</v>
      </c>
      <c r="W22" s="76">
        <f t="shared" si="0"/>
        <v>9</v>
      </c>
      <c r="X22" s="78">
        <f t="shared" si="1"/>
        <v>0</v>
      </c>
      <c r="Y22" s="78">
        <f t="shared" si="2"/>
        <v>2</v>
      </c>
      <c r="Z22" s="78" t="str">
        <f t="shared" si="3"/>
        <v>Tu año esta en riesgo de perderse</v>
      </c>
      <c r="AA22" s="75">
        <f t="shared" si="4"/>
        <v>2</v>
      </c>
      <c r="AF22" s="110">
        <f t="shared" si="5"/>
        <v>9</v>
      </c>
      <c r="AG22" s="75">
        <v>4</v>
      </c>
      <c r="AN22" s="22"/>
      <c r="AO22" s="23"/>
    </row>
    <row r="23" spans="1:66" ht="16.5" thickBot="1" x14ac:dyDescent="0.3">
      <c r="A23" s="74">
        <v>20</v>
      </c>
      <c r="B23" s="114"/>
      <c r="C23" s="123" t="s">
        <v>204</v>
      </c>
      <c r="D23" s="115"/>
      <c r="E23" s="100"/>
      <c r="F23" s="100" t="s">
        <v>49</v>
      </c>
      <c r="G23" s="115"/>
      <c r="H23" s="100"/>
      <c r="I23" s="100"/>
      <c r="J23" s="115"/>
      <c r="K23" s="115"/>
      <c r="L23" s="115"/>
      <c r="M23" s="100"/>
      <c r="N23" s="100" t="s">
        <v>49</v>
      </c>
      <c r="O23" s="100" t="s">
        <v>49</v>
      </c>
      <c r="P23" s="115"/>
      <c r="Q23" s="100"/>
      <c r="R23" s="100"/>
      <c r="S23" s="115"/>
      <c r="T23" s="100"/>
      <c r="U23" s="100"/>
      <c r="V23" s="115"/>
      <c r="W23" s="76">
        <f t="shared" si="0"/>
        <v>3</v>
      </c>
      <c r="X23" s="78">
        <f t="shared" si="1"/>
        <v>0</v>
      </c>
      <c r="Y23" s="78">
        <f t="shared" si="2"/>
        <v>0</v>
      </c>
      <c r="Z23" s="78" t="str">
        <f t="shared" si="3"/>
        <v>Felicitaciones por el buen rendimiento Académico</v>
      </c>
      <c r="AA23" s="75">
        <f t="shared" si="4"/>
        <v>0</v>
      </c>
      <c r="AF23" s="110">
        <f t="shared" si="5"/>
        <v>3</v>
      </c>
      <c r="AG23" s="75">
        <v>1</v>
      </c>
      <c r="AN23" s="22"/>
      <c r="AO23" s="23"/>
    </row>
    <row r="24" spans="1:66" ht="16.5" thickBot="1" x14ac:dyDescent="0.3">
      <c r="A24" s="74">
        <v>21</v>
      </c>
      <c r="B24" s="114"/>
      <c r="C24" s="123" t="s">
        <v>205</v>
      </c>
      <c r="D24" s="115"/>
      <c r="E24" s="100"/>
      <c r="F24" s="100" t="s">
        <v>49</v>
      </c>
      <c r="G24" s="115"/>
      <c r="H24" s="100"/>
      <c r="I24" s="100"/>
      <c r="J24" s="115"/>
      <c r="K24" s="115"/>
      <c r="L24" s="115"/>
      <c r="M24" s="100"/>
      <c r="N24" s="100"/>
      <c r="O24" s="100"/>
      <c r="P24" s="115"/>
      <c r="Q24" s="100"/>
      <c r="R24" s="100"/>
      <c r="S24" s="115"/>
      <c r="T24" s="100"/>
      <c r="U24" s="100"/>
      <c r="V24" s="115" t="s">
        <v>49</v>
      </c>
      <c r="W24" s="76">
        <f t="shared" si="0"/>
        <v>2</v>
      </c>
      <c r="X24" s="78">
        <f t="shared" si="1"/>
        <v>0</v>
      </c>
      <c r="Y24" s="78">
        <f t="shared" si="2"/>
        <v>1</v>
      </c>
      <c r="Z24" s="78" t="str">
        <f t="shared" si="3"/>
        <v>Pasas con logros Pendientes</v>
      </c>
      <c r="AA24" s="75">
        <f t="shared" si="4"/>
        <v>1</v>
      </c>
      <c r="AF24" s="110">
        <f t="shared" si="5"/>
        <v>2</v>
      </c>
      <c r="AG24" s="75">
        <v>1</v>
      </c>
      <c r="AN24" s="22"/>
      <c r="AO24" s="23"/>
    </row>
    <row r="25" spans="1:66" ht="16.5" thickBot="1" x14ac:dyDescent="0.3">
      <c r="A25" s="74">
        <v>22</v>
      </c>
      <c r="B25" s="114"/>
      <c r="C25" s="120" t="s">
        <v>206</v>
      </c>
      <c r="D25" s="115"/>
      <c r="E25" s="100"/>
      <c r="F25" s="100" t="s">
        <v>49</v>
      </c>
      <c r="G25" s="115"/>
      <c r="H25" s="100"/>
      <c r="I25" s="100"/>
      <c r="J25" s="115"/>
      <c r="K25" s="115"/>
      <c r="L25" s="115"/>
      <c r="M25" s="100"/>
      <c r="N25" s="100"/>
      <c r="O25" s="100"/>
      <c r="P25" s="115"/>
      <c r="Q25" s="100"/>
      <c r="R25" s="100"/>
      <c r="S25" s="115"/>
      <c r="T25" s="100"/>
      <c r="U25" s="100"/>
      <c r="V25" s="115"/>
      <c r="W25" s="76">
        <f t="shared" si="0"/>
        <v>1</v>
      </c>
      <c r="X25" s="78">
        <f t="shared" si="1"/>
        <v>0</v>
      </c>
      <c r="Y25" s="78">
        <f t="shared" si="2"/>
        <v>0</v>
      </c>
      <c r="Z25" s="78" t="str">
        <f t="shared" si="3"/>
        <v>Felicitaciones por el buen rendimiento Académico</v>
      </c>
      <c r="AA25" s="75">
        <f t="shared" si="4"/>
        <v>0</v>
      </c>
      <c r="AF25" s="110">
        <f t="shared" si="5"/>
        <v>1</v>
      </c>
      <c r="AG25" s="75">
        <v>0</v>
      </c>
      <c r="AN25" s="22"/>
      <c r="AO25" s="23"/>
    </row>
    <row r="26" spans="1:66" ht="16.5" thickBot="1" x14ac:dyDescent="0.3">
      <c r="A26" s="74">
        <v>23</v>
      </c>
      <c r="B26" s="114"/>
      <c r="C26" s="120" t="s">
        <v>207</v>
      </c>
      <c r="D26" s="115"/>
      <c r="E26" s="100"/>
      <c r="F26" s="100"/>
      <c r="G26" s="115"/>
      <c r="H26" s="100"/>
      <c r="I26" s="100"/>
      <c r="J26" s="115"/>
      <c r="K26" s="115"/>
      <c r="L26" s="115"/>
      <c r="M26" s="100"/>
      <c r="N26" s="100" t="s">
        <v>49</v>
      </c>
      <c r="O26" s="100" t="s">
        <v>49</v>
      </c>
      <c r="P26" s="115"/>
      <c r="Q26" s="100" t="s">
        <v>49</v>
      </c>
      <c r="R26" s="100" t="s">
        <v>49</v>
      </c>
      <c r="S26" s="115"/>
      <c r="T26" s="100" t="s">
        <v>49</v>
      </c>
      <c r="U26" s="100"/>
      <c r="V26" s="115"/>
      <c r="W26" s="76">
        <f t="shared" si="0"/>
        <v>5</v>
      </c>
      <c r="X26" s="78">
        <f t="shared" si="1"/>
        <v>0</v>
      </c>
      <c r="Y26" s="78">
        <f t="shared" si="2"/>
        <v>0</v>
      </c>
      <c r="Z26" s="78" t="str">
        <f t="shared" si="3"/>
        <v>Felicitaciones por el buen rendimiento Académico</v>
      </c>
      <c r="AA26" s="75">
        <f t="shared" si="4"/>
        <v>0</v>
      </c>
      <c r="AF26" s="110">
        <f t="shared" si="5"/>
        <v>5</v>
      </c>
      <c r="AG26" s="75">
        <v>3</v>
      </c>
      <c r="AN26" s="24"/>
      <c r="AO26" s="25"/>
    </row>
    <row r="27" spans="1:66" ht="16.5" thickBot="1" x14ac:dyDescent="0.3">
      <c r="A27" s="74">
        <v>24</v>
      </c>
      <c r="B27" s="114"/>
      <c r="C27" s="120" t="s">
        <v>208</v>
      </c>
      <c r="D27" s="115"/>
      <c r="E27" s="100"/>
      <c r="F27" s="100"/>
      <c r="G27" s="115"/>
      <c r="H27" s="100" t="s">
        <v>49</v>
      </c>
      <c r="I27" s="100" t="s">
        <v>49</v>
      </c>
      <c r="J27" s="115"/>
      <c r="K27" s="115"/>
      <c r="L27" s="115"/>
      <c r="M27" s="100"/>
      <c r="N27" s="100"/>
      <c r="O27" s="100"/>
      <c r="P27" s="115"/>
      <c r="Q27" s="100"/>
      <c r="R27" s="100" t="s">
        <v>49</v>
      </c>
      <c r="S27" s="115"/>
      <c r="T27" s="100" t="s">
        <v>49</v>
      </c>
      <c r="U27" s="100" t="s">
        <v>49</v>
      </c>
      <c r="V27" s="115"/>
      <c r="W27" s="76">
        <f t="shared" si="0"/>
        <v>5</v>
      </c>
      <c r="X27" s="78">
        <f t="shared" si="1"/>
        <v>0</v>
      </c>
      <c r="Y27" s="78">
        <f t="shared" si="2"/>
        <v>0</v>
      </c>
      <c r="Z27" s="78" t="str">
        <f t="shared" si="3"/>
        <v>Felicitaciones por el buen rendimiento Académico</v>
      </c>
      <c r="AA27" s="75">
        <f t="shared" si="4"/>
        <v>0</v>
      </c>
      <c r="AF27" s="110">
        <f t="shared" si="5"/>
        <v>5</v>
      </c>
      <c r="AG27" s="75">
        <v>2</v>
      </c>
    </row>
    <row r="28" spans="1:66" ht="16.5" thickBot="1" x14ac:dyDescent="0.3">
      <c r="A28" s="74">
        <v>25</v>
      </c>
      <c r="B28" s="114"/>
      <c r="C28" s="120" t="s">
        <v>209</v>
      </c>
      <c r="D28" s="115"/>
      <c r="E28" s="100"/>
      <c r="F28" s="100"/>
      <c r="G28" s="115"/>
      <c r="H28" s="100"/>
      <c r="I28" s="100"/>
      <c r="J28" s="115"/>
      <c r="K28" s="115"/>
      <c r="L28" s="115"/>
      <c r="M28" s="100"/>
      <c r="N28" s="100"/>
      <c r="O28" s="100"/>
      <c r="P28" s="115"/>
      <c r="Q28" s="100"/>
      <c r="R28" s="100"/>
      <c r="S28" s="115"/>
      <c r="T28" s="100"/>
      <c r="U28" s="100"/>
      <c r="V28" s="115"/>
      <c r="W28" s="76">
        <f t="shared" si="0"/>
        <v>0</v>
      </c>
      <c r="X28" s="78">
        <f t="shared" si="1"/>
        <v>0</v>
      </c>
      <c r="Y28" s="78">
        <f t="shared" si="2"/>
        <v>0</v>
      </c>
      <c r="Z28" s="78" t="str">
        <f t="shared" si="3"/>
        <v>Felicitaciones por el buen rendimiento Académico</v>
      </c>
      <c r="AA28" s="75">
        <f t="shared" si="4"/>
        <v>0</v>
      </c>
      <c r="AF28" s="110">
        <f t="shared" si="5"/>
        <v>0</v>
      </c>
      <c r="AG28" s="75">
        <v>0</v>
      </c>
    </row>
    <row r="29" spans="1:66" ht="16.5" thickBot="1" x14ac:dyDescent="0.3">
      <c r="A29" s="74">
        <v>26</v>
      </c>
      <c r="B29" s="114"/>
      <c r="C29" s="120" t="s">
        <v>210</v>
      </c>
      <c r="D29" s="115"/>
      <c r="E29" s="100"/>
      <c r="F29" s="100"/>
      <c r="G29" s="115"/>
      <c r="H29" s="100" t="s">
        <v>49</v>
      </c>
      <c r="I29" s="100" t="s">
        <v>49</v>
      </c>
      <c r="J29" s="115"/>
      <c r="K29" s="115"/>
      <c r="L29" s="115"/>
      <c r="M29" s="100"/>
      <c r="N29" s="100"/>
      <c r="O29" s="100" t="s">
        <v>49</v>
      </c>
      <c r="P29" s="115"/>
      <c r="Q29" s="100" t="s">
        <v>49</v>
      </c>
      <c r="R29" s="100" t="s">
        <v>49</v>
      </c>
      <c r="S29" s="115"/>
      <c r="T29" s="100"/>
      <c r="U29" s="100"/>
      <c r="V29" s="115"/>
      <c r="W29" s="76">
        <f t="shared" si="0"/>
        <v>5</v>
      </c>
      <c r="X29" s="78">
        <f t="shared" si="1"/>
        <v>0</v>
      </c>
      <c r="Y29" s="78">
        <f t="shared" si="2"/>
        <v>0</v>
      </c>
      <c r="Z29" s="78" t="str">
        <f t="shared" si="3"/>
        <v>Felicitaciones por el buen rendimiento Académico</v>
      </c>
      <c r="AA29" s="75">
        <f t="shared" si="4"/>
        <v>0</v>
      </c>
      <c r="AF29" s="110">
        <f t="shared" si="5"/>
        <v>5</v>
      </c>
      <c r="AG29" s="75">
        <v>1</v>
      </c>
    </row>
    <row r="30" spans="1:66" ht="16.5" thickBot="1" x14ac:dyDescent="0.3">
      <c r="A30" s="74">
        <v>27</v>
      </c>
      <c r="B30" s="114"/>
      <c r="C30" s="120" t="s">
        <v>211</v>
      </c>
      <c r="D30" s="115"/>
      <c r="E30" s="100"/>
      <c r="F30" s="100"/>
      <c r="G30" s="115"/>
      <c r="H30" s="100"/>
      <c r="I30" s="100"/>
      <c r="J30" s="115"/>
      <c r="K30" s="115"/>
      <c r="L30" s="115"/>
      <c r="M30" s="100"/>
      <c r="N30" s="100" t="s">
        <v>49</v>
      </c>
      <c r="O30" s="100" t="s">
        <v>49</v>
      </c>
      <c r="P30" s="115"/>
      <c r="Q30" s="100"/>
      <c r="R30" s="100"/>
      <c r="S30" s="115"/>
      <c r="T30" s="100"/>
      <c r="U30" s="100"/>
      <c r="V30" s="115"/>
      <c r="W30" s="76">
        <f t="shared" si="0"/>
        <v>2</v>
      </c>
      <c r="X30" s="78">
        <f t="shared" si="1"/>
        <v>0</v>
      </c>
      <c r="Y30" s="78">
        <f t="shared" si="2"/>
        <v>0</v>
      </c>
      <c r="Z30" s="78" t="str">
        <f t="shared" si="3"/>
        <v>Felicitaciones por el buen rendimiento Académico</v>
      </c>
      <c r="AA30" s="75">
        <f t="shared" si="4"/>
        <v>0</v>
      </c>
      <c r="AF30" s="110">
        <f t="shared" si="5"/>
        <v>2</v>
      </c>
      <c r="AG30" s="75">
        <v>1</v>
      </c>
    </row>
    <row r="31" spans="1:66" ht="16.5" thickBot="1" x14ac:dyDescent="0.3">
      <c r="A31" s="74">
        <v>28</v>
      </c>
      <c r="B31" s="114"/>
      <c r="C31" s="120" t="s">
        <v>212</v>
      </c>
      <c r="D31" s="115"/>
      <c r="E31" s="100"/>
      <c r="F31" s="100" t="s">
        <v>49</v>
      </c>
      <c r="G31" s="115"/>
      <c r="H31" s="100"/>
      <c r="I31" s="100"/>
      <c r="J31" s="115"/>
      <c r="K31" s="115"/>
      <c r="L31" s="115"/>
      <c r="M31" s="100"/>
      <c r="N31" s="100"/>
      <c r="O31" s="100"/>
      <c r="P31" s="115"/>
      <c r="Q31" s="100"/>
      <c r="R31" s="100"/>
      <c r="S31" s="115"/>
      <c r="T31" s="100"/>
      <c r="U31" s="100"/>
      <c r="V31" s="115" t="s">
        <v>49</v>
      </c>
      <c r="W31" s="76">
        <f t="shared" si="0"/>
        <v>2</v>
      </c>
      <c r="X31" s="78">
        <f t="shared" si="1"/>
        <v>0</v>
      </c>
      <c r="Y31" s="78">
        <f t="shared" si="2"/>
        <v>1</v>
      </c>
      <c r="Z31" s="78" t="str">
        <f t="shared" si="3"/>
        <v>Pasas con logros Pendientes</v>
      </c>
      <c r="AA31" s="75">
        <f t="shared" si="4"/>
        <v>1</v>
      </c>
      <c r="AF31" s="110">
        <f t="shared" si="5"/>
        <v>2</v>
      </c>
      <c r="AG31" s="75">
        <v>1</v>
      </c>
    </row>
    <row r="32" spans="1:66" ht="16.5" thickBot="1" x14ac:dyDescent="0.3">
      <c r="A32" s="74">
        <v>29</v>
      </c>
      <c r="B32" s="114"/>
      <c r="C32" s="120" t="s">
        <v>213</v>
      </c>
      <c r="D32" s="115"/>
      <c r="E32" s="100"/>
      <c r="F32" s="100"/>
      <c r="G32" s="115"/>
      <c r="H32" s="100"/>
      <c r="I32" s="100"/>
      <c r="J32" s="115"/>
      <c r="K32" s="115"/>
      <c r="L32" s="115"/>
      <c r="M32" s="100"/>
      <c r="N32" s="100" t="s">
        <v>49</v>
      </c>
      <c r="O32" s="100" t="s">
        <v>49</v>
      </c>
      <c r="P32" s="115"/>
      <c r="Q32" s="100" t="s">
        <v>49</v>
      </c>
      <c r="R32" s="100" t="s">
        <v>49</v>
      </c>
      <c r="S32" s="115"/>
      <c r="T32" s="100" t="s">
        <v>49</v>
      </c>
      <c r="U32" s="100"/>
      <c r="V32" s="115"/>
      <c r="W32" s="76">
        <f t="shared" si="0"/>
        <v>5</v>
      </c>
      <c r="X32" s="78">
        <f t="shared" si="1"/>
        <v>0</v>
      </c>
      <c r="Y32" s="78">
        <f t="shared" si="2"/>
        <v>0</v>
      </c>
      <c r="Z32" s="78" t="str">
        <f t="shared" si="3"/>
        <v>Felicitaciones por el buen rendimiento Académico</v>
      </c>
      <c r="AA32" s="75">
        <f t="shared" si="4"/>
        <v>0</v>
      </c>
      <c r="AE32" s="75">
        <v>45</v>
      </c>
      <c r="AF32" s="110">
        <f t="shared" si="5"/>
        <v>5</v>
      </c>
      <c r="AG32" s="75">
        <v>2</v>
      </c>
    </row>
    <row r="33" spans="1:33" ht="16.5" thickBot="1" x14ac:dyDescent="0.3">
      <c r="A33" s="74">
        <v>30</v>
      </c>
      <c r="B33" s="114"/>
      <c r="C33" s="120" t="s">
        <v>214</v>
      </c>
      <c r="D33" s="115"/>
      <c r="E33" s="100"/>
      <c r="F33" s="100"/>
      <c r="G33" s="115"/>
      <c r="H33" s="100" t="s">
        <v>49</v>
      </c>
      <c r="I33" s="100" t="s">
        <v>49</v>
      </c>
      <c r="J33" s="115"/>
      <c r="K33" s="115" t="s">
        <v>49</v>
      </c>
      <c r="L33" s="115"/>
      <c r="M33" s="100"/>
      <c r="N33" s="100"/>
      <c r="O33" s="100" t="s">
        <v>49</v>
      </c>
      <c r="P33" s="115"/>
      <c r="Q33" s="100" t="s">
        <v>49</v>
      </c>
      <c r="R33" s="100" t="s">
        <v>49</v>
      </c>
      <c r="S33" s="115"/>
      <c r="T33" s="100"/>
      <c r="U33" s="100" t="s">
        <v>49</v>
      </c>
      <c r="V33" s="115"/>
      <c r="W33" s="76">
        <f t="shared" si="0"/>
        <v>7</v>
      </c>
      <c r="X33" s="78">
        <f t="shared" si="1"/>
        <v>0</v>
      </c>
      <c r="Y33" s="78">
        <f t="shared" si="2"/>
        <v>1</v>
      </c>
      <c r="Z33" s="78" t="str">
        <f t="shared" si="3"/>
        <v>Pasas con logros Pendientes</v>
      </c>
      <c r="AA33" s="75">
        <f t="shared" si="4"/>
        <v>1</v>
      </c>
      <c r="AE33" s="75">
        <v>18</v>
      </c>
      <c r="AF33" s="110">
        <f t="shared" si="5"/>
        <v>7</v>
      </c>
      <c r="AG33" s="75">
        <v>2</v>
      </c>
    </row>
    <row r="34" spans="1:33" ht="16.5" thickBot="1" x14ac:dyDescent="0.3">
      <c r="A34" s="74">
        <v>31</v>
      </c>
      <c r="B34" s="114"/>
      <c r="C34" s="120" t="s">
        <v>215</v>
      </c>
      <c r="D34" s="115"/>
      <c r="E34" s="100"/>
      <c r="F34" s="100"/>
      <c r="G34" s="115"/>
      <c r="H34" s="100" t="s">
        <v>49</v>
      </c>
      <c r="I34" s="100" t="s">
        <v>49</v>
      </c>
      <c r="J34" s="115"/>
      <c r="K34" s="115"/>
      <c r="L34" s="115"/>
      <c r="M34" s="100"/>
      <c r="N34" s="100"/>
      <c r="O34" s="100"/>
      <c r="P34" s="115"/>
      <c r="Q34" s="100" t="s">
        <v>49</v>
      </c>
      <c r="R34" s="100"/>
      <c r="S34" s="115"/>
      <c r="T34" s="100" t="s">
        <v>49</v>
      </c>
      <c r="U34" s="100"/>
      <c r="V34" s="115"/>
      <c r="W34" s="76">
        <f t="shared" si="0"/>
        <v>4</v>
      </c>
      <c r="X34" s="78">
        <f t="shared" si="1"/>
        <v>0</v>
      </c>
      <c r="Y34" s="78">
        <f t="shared" si="2"/>
        <v>0</v>
      </c>
      <c r="Z34" s="78" t="str">
        <f t="shared" si="3"/>
        <v>Felicitaciones por el buen rendimiento Académico</v>
      </c>
      <c r="AA34" s="75">
        <f t="shared" si="4"/>
        <v>0</v>
      </c>
      <c r="AE34" s="75">
        <f>AE32-AE33</f>
        <v>27</v>
      </c>
      <c r="AF34" s="110">
        <f t="shared" si="5"/>
        <v>4</v>
      </c>
      <c r="AG34" s="75">
        <v>1</v>
      </c>
    </row>
    <row r="35" spans="1:33" ht="16.5" thickBot="1" x14ac:dyDescent="0.3">
      <c r="A35" s="74">
        <v>32</v>
      </c>
      <c r="B35" s="114"/>
      <c r="C35" s="120" t="s">
        <v>216</v>
      </c>
      <c r="D35" s="115"/>
      <c r="E35" s="100"/>
      <c r="F35" s="100"/>
      <c r="G35" s="115"/>
      <c r="H35" s="100"/>
      <c r="I35" s="100"/>
      <c r="J35" s="115"/>
      <c r="K35" s="115"/>
      <c r="L35" s="115"/>
      <c r="M35" s="100"/>
      <c r="N35" s="100"/>
      <c r="O35" s="100"/>
      <c r="P35" s="115"/>
      <c r="Q35" s="100"/>
      <c r="R35" s="100"/>
      <c r="S35" s="115"/>
      <c r="T35" s="100"/>
      <c r="U35" s="100"/>
      <c r="V35" s="115"/>
      <c r="W35" s="76">
        <f t="shared" si="0"/>
        <v>0</v>
      </c>
      <c r="X35" s="78">
        <f t="shared" si="1"/>
        <v>0</v>
      </c>
      <c r="Y35" s="78">
        <f t="shared" si="2"/>
        <v>0</v>
      </c>
      <c r="Z35" s="78" t="str">
        <f t="shared" si="3"/>
        <v>Felicitaciones por el buen rendimiento Académico</v>
      </c>
      <c r="AA35" s="75">
        <f t="shared" si="4"/>
        <v>0</v>
      </c>
      <c r="AF35" s="110">
        <f t="shared" si="5"/>
        <v>0</v>
      </c>
      <c r="AG35" s="75">
        <v>0</v>
      </c>
    </row>
    <row r="36" spans="1:33" ht="16.5" thickBot="1" x14ac:dyDescent="0.3">
      <c r="A36" s="74">
        <v>33</v>
      </c>
      <c r="B36" s="114"/>
      <c r="C36" s="120" t="s">
        <v>217</v>
      </c>
      <c r="D36" s="115"/>
      <c r="E36" s="100"/>
      <c r="F36" s="100"/>
      <c r="G36" s="115"/>
      <c r="H36" s="100" t="s">
        <v>49</v>
      </c>
      <c r="I36" s="100" t="s">
        <v>49</v>
      </c>
      <c r="J36" s="115"/>
      <c r="K36" s="115"/>
      <c r="L36" s="115"/>
      <c r="M36" s="100"/>
      <c r="N36" s="100" t="s">
        <v>49</v>
      </c>
      <c r="O36" s="100" t="s">
        <v>49</v>
      </c>
      <c r="P36" s="115"/>
      <c r="Q36" s="100"/>
      <c r="R36" s="100"/>
      <c r="S36" s="115"/>
      <c r="T36" s="100" t="s">
        <v>49</v>
      </c>
      <c r="U36" s="100" t="s">
        <v>49</v>
      </c>
      <c r="V36" s="115"/>
      <c r="W36" s="76">
        <f t="shared" si="0"/>
        <v>6</v>
      </c>
      <c r="X36" s="78">
        <f t="shared" si="1"/>
        <v>0</v>
      </c>
      <c r="Y36" s="78">
        <f t="shared" si="2"/>
        <v>0</v>
      </c>
      <c r="Z36" s="78" t="str">
        <f t="shared" si="3"/>
        <v>Felicitaciones por el buen rendimiento Académico</v>
      </c>
      <c r="AA36" s="75">
        <f t="shared" si="4"/>
        <v>0</v>
      </c>
      <c r="AF36" s="110">
        <f t="shared" si="5"/>
        <v>6</v>
      </c>
      <c r="AG36" s="75">
        <v>2</v>
      </c>
    </row>
    <row r="37" spans="1:33" ht="16.5" thickBot="1" x14ac:dyDescent="0.3">
      <c r="A37" s="74">
        <v>34</v>
      </c>
      <c r="B37" s="114"/>
      <c r="C37" s="120" t="s">
        <v>218</v>
      </c>
      <c r="D37" s="115"/>
      <c r="E37" s="100"/>
      <c r="F37" s="100" t="s">
        <v>49</v>
      </c>
      <c r="G37" s="115"/>
      <c r="H37" s="100" t="s">
        <v>49</v>
      </c>
      <c r="I37" s="100" t="s">
        <v>49</v>
      </c>
      <c r="J37" s="115"/>
      <c r="K37" s="115"/>
      <c r="L37" s="115"/>
      <c r="M37" s="100"/>
      <c r="N37" s="100"/>
      <c r="O37" s="100"/>
      <c r="P37" s="115"/>
      <c r="Q37" s="100"/>
      <c r="R37" s="100"/>
      <c r="S37" s="115"/>
      <c r="T37" s="100"/>
      <c r="U37" s="100" t="s">
        <v>49</v>
      </c>
      <c r="V37" s="115"/>
      <c r="W37" s="76">
        <f t="shared" si="0"/>
        <v>4</v>
      </c>
      <c r="X37" s="78">
        <f t="shared" si="1"/>
        <v>0</v>
      </c>
      <c r="Y37" s="78">
        <f t="shared" si="2"/>
        <v>0</v>
      </c>
      <c r="Z37" s="78" t="str">
        <f t="shared" si="3"/>
        <v>Felicitaciones por el buen rendimiento Académico</v>
      </c>
      <c r="AA37" s="75">
        <f t="shared" si="4"/>
        <v>0</v>
      </c>
      <c r="AF37" s="110">
        <f t="shared" si="5"/>
        <v>4</v>
      </c>
      <c r="AG37" s="75">
        <v>0</v>
      </c>
    </row>
    <row r="38" spans="1:33" ht="16.5" thickBot="1" x14ac:dyDescent="0.3">
      <c r="A38" s="74">
        <v>35</v>
      </c>
      <c r="B38" s="114"/>
      <c r="C38" s="122" t="s">
        <v>219</v>
      </c>
      <c r="D38" s="115"/>
      <c r="E38" s="100"/>
      <c r="F38" s="100"/>
      <c r="G38" s="115"/>
      <c r="H38" s="100"/>
      <c r="I38" s="100"/>
      <c r="J38" s="115"/>
      <c r="K38" s="115"/>
      <c r="L38" s="115"/>
      <c r="M38" s="100"/>
      <c r="N38" s="100" t="s">
        <v>49</v>
      </c>
      <c r="O38" s="100" t="s">
        <v>49</v>
      </c>
      <c r="P38" s="115"/>
      <c r="Q38" s="100"/>
      <c r="R38" s="100"/>
      <c r="S38" s="115"/>
      <c r="T38" s="100" t="s">
        <v>49</v>
      </c>
      <c r="U38" s="100" t="s">
        <v>49</v>
      </c>
      <c r="V38" s="115"/>
      <c r="W38" s="76">
        <f t="shared" si="0"/>
        <v>4</v>
      </c>
      <c r="X38" s="78">
        <f t="shared" si="1"/>
        <v>0</v>
      </c>
      <c r="Y38" s="78">
        <f t="shared" si="2"/>
        <v>0</v>
      </c>
      <c r="Z38" s="78" t="str">
        <f t="shared" si="3"/>
        <v>Felicitaciones por el buen rendimiento Académico</v>
      </c>
      <c r="AA38" s="75">
        <f t="shared" si="4"/>
        <v>0</v>
      </c>
      <c r="AF38" s="110">
        <f t="shared" si="5"/>
        <v>4</v>
      </c>
      <c r="AG38" s="75">
        <v>2</v>
      </c>
    </row>
    <row r="39" spans="1:33" ht="16.5" thickBot="1" x14ac:dyDescent="0.3">
      <c r="A39" s="74">
        <v>36</v>
      </c>
      <c r="B39" s="114"/>
      <c r="C39" s="122" t="s">
        <v>220</v>
      </c>
      <c r="D39" s="115"/>
      <c r="E39" s="100" t="s">
        <v>49</v>
      </c>
      <c r="F39" s="100" t="s">
        <v>49</v>
      </c>
      <c r="G39" s="115"/>
      <c r="H39" s="100"/>
      <c r="I39" s="100"/>
      <c r="J39" s="115" t="s">
        <v>49</v>
      </c>
      <c r="K39" s="115" t="s">
        <v>49</v>
      </c>
      <c r="L39" s="115"/>
      <c r="M39" s="100"/>
      <c r="N39" s="100" t="s">
        <v>49</v>
      </c>
      <c r="O39" s="100" t="s">
        <v>49</v>
      </c>
      <c r="P39" s="115"/>
      <c r="Q39" s="100" t="s">
        <v>49</v>
      </c>
      <c r="R39" s="100" t="s">
        <v>49</v>
      </c>
      <c r="S39" s="115"/>
      <c r="T39" s="100" t="s">
        <v>49</v>
      </c>
      <c r="U39" s="100" t="s">
        <v>49</v>
      </c>
      <c r="V39" s="115" t="s">
        <v>49</v>
      </c>
      <c r="W39" s="76">
        <f t="shared" si="0"/>
        <v>11</v>
      </c>
      <c r="X39" s="78">
        <f t="shared" si="1"/>
        <v>0</v>
      </c>
      <c r="Y39" s="78">
        <f t="shared" si="2"/>
        <v>3</v>
      </c>
      <c r="Z39" s="78" t="str">
        <f t="shared" si="3"/>
        <v>Tu año esta en riesgo de perderse</v>
      </c>
      <c r="AA39" s="75">
        <f t="shared" si="4"/>
        <v>3</v>
      </c>
      <c r="AF39" s="110">
        <f t="shared" si="5"/>
        <v>11</v>
      </c>
      <c r="AG39" s="75">
        <v>7</v>
      </c>
    </row>
    <row r="40" spans="1:33" ht="16.5" thickBot="1" x14ac:dyDescent="0.3">
      <c r="A40" s="74">
        <v>37</v>
      </c>
      <c r="B40" s="114"/>
      <c r="C40" s="124"/>
      <c r="D40" s="116"/>
      <c r="E40" s="101"/>
      <c r="F40" s="101"/>
      <c r="G40" s="116"/>
      <c r="H40" s="101"/>
      <c r="I40" s="101"/>
      <c r="J40" s="116"/>
      <c r="K40" s="116"/>
      <c r="L40" s="116"/>
      <c r="M40" s="101"/>
      <c r="N40" s="101"/>
      <c r="O40" s="101"/>
      <c r="P40" s="116"/>
      <c r="Q40" s="101"/>
      <c r="R40" s="101"/>
      <c r="S40" s="116"/>
      <c r="T40" s="101"/>
      <c r="U40" s="101"/>
      <c r="V40" s="116"/>
      <c r="W40" s="76">
        <f t="shared" si="0"/>
        <v>0</v>
      </c>
      <c r="X40" s="78">
        <f t="shared" si="1"/>
        <v>0</v>
      </c>
      <c r="Y40" s="78">
        <f t="shared" si="2"/>
        <v>0</v>
      </c>
      <c r="Z40" s="78" t="str">
        <f t="shared" si="3"/>
        <v>Felicitaciones por el buen rendimiento Académico</v>
      </c>
      <c r="AA40" s="75">
        <f t="shared" si="4"/>
        <v>0</v>
      </c>
      <c r="AF40" s="110">
        <f t="shared" si="5"/>
        <v>0</v>
      </c>
    </row>
    <row r="41" spans="1:33" x14ac:dyDescent="0.25">
      <c r="A41" s="74">
        <v>38</v>
      </c>
      <c r="C41" s="118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AF41" s="110">
        <f t="shared" si="5"/>
        <v>0</v>
      </c>
    </row>
    <row r="42" spans="1:33" x14ac:dyDescent="0.25">
      <c r="A42" s="64"/>
      <c r="D42">
        <f>COUNTIF(D4:D41,"X")</f>
        <v>0</v>
      </c>
      <c r="E42">
        <f t="shared" ref="E42:V42" si="7">COUNTIF(E4:E41,"X")</f>
        <v>6</v>
      </c>
      <c r="F42">
        <f t="shared" si="7"/>
        <v>13</v>
      </c>
      <c r="G42">
        <f t="shared" si="7"/>
        <v>0</v>
      </c>
      <c r="H42">
        <f t="shared" si="7"/>
        <v>12</v>
      </c>
      <c r="I42">
        <f t="shared" si="7"/>
        <v>12</v>
      </c>
      <c r="J42">
        <f t="shared" si="7"/>
        <v>5</v>
      </c>
      <c r="K42">
        <f t="shared" si="7"/>
        <v>4</v>
      </c>
      <c r="L42">
        <f t="shared" si="7"/>
        <v>0</v>
      </c>
      <c r="M42">
        <f t="shared" si="7"/>
        <v>0</v>
      </c>
      <c r="N42">
        <f t="shared" si="7"/>
        <v>14</v>
      </c>
      <c r="O42">
        <f t="shared" si="7"/>
        <v>19</v>
      </c>
      <c r="P42">
        <f t="shared" si="7"/>
        <v>0</v>
      </c>
      <c r="Q42">
        <f t="shared" si="7"/>
        <v>12</v>
      </c>
      <c r="R42">
        <f t="shared" si="7"/>
        <v>13</v>
      </c>
      <c r="S42">
        <f t="shared" si="7"/>
        <v>0</v>
      </c>
      <c r="T42">
        <f t="shared" si="7"/>
        <v>14</v>
      </c>
      <c r="U42">
        <f t="shared" si="7"/>
        <v>13</v>
      </c>
      <c r="V42">
        <f t="shared" si="7"/>
        <v>10</v>
      </c>
      <c r="AF42" s="75">
        <f>COUNTIF(AF4:AF41,"0")</f>
        <v>8</v>
      </c>
    </row>
    <row r="43" spans="1:33" x14ac:dyDescent="0.25">
      <c r="A43" s="64"/>
    </row>
    <row r="44" spans="1:33" x14ac:dyDescent="0.25">
      <c r="A44" s="64"/>
    </row>
    <row r="45" spans="1:33" x14ac:dyDescent="0.25">
      <c r="A45" s="64"/>
    </row>
    <row r="46" spans="1:33" x14ac:dyDescent="0.25">
      <c r="A46" s="64"/>
    </row>
    <row r="47" spans="1:33" x14ac:dyDescent="0.25">
      <c r="A47" s="64"/>
    </row>
    <row r="48" spans="1:33" x14ac:dyDescent="0.25">
      <c r="A48" s="64"/>
    </row>
    <row r="49" spans="1:30" x14ac:dyDescent="0.25">
      <c r="A49" s="64"/>
    </row>
    <row r="50" spans="1:30" x14ac:dyDescent="0.25">
      <c r="A50" s="64"/>
    </row>
    <row r="51" spans="1:30" x14ac:dyDescent="0.25">
      <c r="A51" s="64"/>
    </row>
    <row r="52" spans="1:30" x14ac:dyDescent="0.25">
      <c r="A52" s="64"/>
    </row>
    <row r="53" spans="1:30" x14ac:dyDescent="0.25">
      <c r="A53" s="64"/>
    </row>
    <row r="54" spans="1:30" x14ac:dyDescent="0.25">
      <c r="A54" s="64"/>
      <c r="AA54" s="95" t="s">
        <v>172</v>
      </c>
      <c r="AB54" s="95"/>
      <c r="AC54" s="95" t="s">
        <v>173</v>
      </c>
      <c r="AD54" s="95" t="s">
        <v>47</v>
      </c>
    </row>
    <row r="55" spans="1:30" x14ac:dyDescent="0.25">
      <c r="A55" s="64"/>
      <c r="AA55" s="37" t="s">
        <v>177</v>
      </c>
      <c r="AB55" s="37"/>
      <c r="AC55" s="79">
        <f>COUNTIF(Z4:Z40,"Felicitaciones por el buen rendimiento Académico")+1</f>
        <v>27</v>
      </c>
      <c r="AD55" s="80">
        <f>AC55/$AC$58</f>
        <v>0.72972972972972971</v>
      </c>
    </row>
    <row r="56" spans="1:30" x14ac:dyDescent="0.25">
      <c r="A56" s="64"/>
      <c r="AA56" s="37" t="s">
        <v>171</v>
      </c>
      <c r="AB56" s="37"/>
      <c r="AC56" s="79">
        <f>COUNTIF($Z$4:$Z$40,"Pasas con logros Pendientes")</f>
        <v>5</v>
      </c>
      <c r="AD56" s="80">
        <f>AC56/$AC$58</f>
        <v>0.13513513513513514</v>
      </c>
    </row>
    <row r="57" spans="1:30" x14ac:dyDescent="0.25">
      <c r="A57" s="64"/>
      <c r="AA57" s="95" t="s">
        <v>174</v>
      </c>
      <c r="AB57" s="95"/>
      <c r="AC57" s="79">
        <f>COUNTIF($Z$4:$Z$40,"Tu año esta en riesgo de perderse")</f>
        <v>6</v>
      </c>
      <c r="AD57" s="80">
        <f>AC57/$AC$58</f>
        <v>0.16216216216216217</v>
      </c>
    </row>
    <row r="58" spans="1:30" ht="20.25" x14ac:dyDescent="0.3">
      <c r="A58" s="38"/>
      <c r="AA58" s="96" t="s">
        <v>175</v>
      </c>
      <c r="AB58" s="96"/>
      <c r="AC58" s="96">
        <v>37</v>
      </c>
      <c r="AD58" s="97">
        <v>1</v>
      </c>
    </row>
    <row r="59" spans="1:30" ht="15.75" thickBot="1" x14ac:dyDescent="0.3">
      <c r="A59" s="39"/>
    </row>
  </sheetData>
  <sortState xmlns:xlrd2="http://schemas.microsoft.com/office/spreadsheetml/2017/richdata2" ref="C4:V39">
    <sortCondition ref="C4:C39"/>
  </sortState>
  <mergeCells count="3">
    <mergeCell ref="A1:B1"/>
    <mergeCell ref="E1:V1"/>
    <mergeCell ref="W1:W3"/>
  </mergeCells>
  <conditionalFormatting sqref="D4:D40">
    <cfRule type="cellIs" dxfId="28" priority="8" operator="equal">
      <formula>"X"</formula>
    </cfRule>
  </conditionalFormatting>
  <conditionalFormatting sqref="G4:G40">
    <cfRule type="cellIs" dxfId="27" priority="7" operator="equal">
      <formula>"X"</formula>
    </cfRule>
  </conditionalFormatting>
  <conditionalFormatting sqref="J4:L40">
    <cfRule type="cellIs" dxfId="26" priority="4" operator="equal">
      <formula>"X"</formula>
    </cfRule>
  </conditionalFormatting>
  <conditionalFormatting sqref="P4:P40">
    <cfRule type="cellIs" dxfId="25" priority="3" operator="equal">
      <formula>"X"</formula>
    </cfRule>
  </conditionalFormatting>
  <conditionalFormatting sqref="S4:S40">
    <cfRule type="cellIs" dxfId="24" priority="2" operator="equal">
      <formula>"X"</formula>
    </cfRule>
  </conditionalFormatting>
  <conditionalFormatting sqref="V4:V40">
    <cfRule type="cellIs" dxfId="23" priority="1" operator="equal">
      <formula>"X"</formula>
    </cfRule>
  </conditionalFormatting>
  <conditionalFormatting sqref="W16:W17">
    <cfRule type="cellIs" dxfId="22" priority="21" operator="equal">
      <formula>$J$5</formula>
    </cfRule>
  </conditionalFormatting>
  <conditionalFormatting sqref="Z4:Z40">
    <cfRule type="cellIs" dxfId="21" priority="17" stopIfTrue="1" operator="equal">
      <formula>"Felicitaciones por el buen rendimiento Académico"</formula>
    </cfRule>
    <cfRule type="notContainsText" dxfId="20" priority="18" stopIfTrue="1" operator="notContains" text="Felicitaciones…pasas a noveno">
      <formula>ISERROR(SEARCH("Felicitaciones…pasas a noveno",Z4))</formula>
    </cfRule>
    <cfRule type="containsText" dxfId="19" priority="19" stopIfTrue="1" operator="containsText" text="Tu año esta en riesgo de perderse">
      <formula>NOT(ISERROR(SEARCH("Tu año esta en riesgo de perderse",Z4)))</formula>
    </cfRule>
    <cfRule type="containsText" dxfId="18" priority="20" stopIfTrue="1" operator="containsText" text="Felicitaciones…pasas a noveno">
      <formula>NOT(ISERROR(SEARCH("Felicitaciones…pasas a noveno",Z4)))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F448-1AFA-4CA1-9D6A-213B28E688E2}">
  <dimension ref="B2:I32"/>
  <sheetViews>
    <sheetView showGridLines="0" topLeftCell="C20" workbookViewId="0">
      <selection activeCell="D21" sqref="D21"/>
    </sheetView>
  </sheetViews>
  <sheetFormatPr baseColWidth="10" defaultRowHeight="15" x14ac:dyDescent="0.25"/>
  <cols>
    <col min="4" max="4" width="17.140625" bestFit="1" customWidth="1"/>
    <col min="6" max="6" width="61.28515625" bestFit="1" customWidth="1"/>
    <col min="7" max="7" width="76.5703125" bestFit="1" customWidth="1"/>
  </cols>
  <sheetData>
    <row r="2" spans="2:4" x14ac:dyDescent="0.25">
      <c r="C2" s="127" t="s">
        <v>226</v>
      </c>
      <c r="D2" s="127" t="s">
        <v>227</v>
      </c>
    </row>
    <row r="3" spans="2:4" ht="22.5" x14ac:dyDescent="0.25">
      <c r="B3">
        <v>1</v>
      </c>
      <c r="C3" s="126" t="s">
        <v>3</v>
      </c>
      <c r="D3" s="125">
        <f>'informe PARCIAL 1 periodo (2)'!E42</f>
        <v>6</v>
      </c>
    </row>
    <row r="4" spans="2:4" ht="22.5" x14ac:dyDescent="0.25">
      <c r="B4">
        <v>2</v>
      </c>
      <c r="C4" s="126" t="s">
        <v>4</v>
      </c>
      <c r="D4" s="125">
        <f>'informe PARCIAL 1 periodo (2)'!F42</f>
        <v>13</v>
      </c>
    </row>
    <row r="5" spans="2:4" x14ac:dyDescent="0.25">
      <c r="B5">
        <v>3</v>
      </c>
      <c r="C5" s="126" t="s">
        <v>167</v>
      </c>
      <c r="D5" s="125">
        <f>'informe PARCIAL 1 periodo (2)'!H42</f>
        <v>12</v>
      </c>
    </row>
    <row r="6" spans="2:4" ht="22.5" x14ac:dyDescent="0.25">
      <c r="B6">
        <v>4</v>
      </c>
      <c r="C6" s="126" t="s">
        <v>165</v>
      </c>
      <c r="D6" s="125">
        <f>'informe PARCIAL 1 periodo (2)'!I42</f>
        <v>12</v>
      </c>
    </row>
    <row r="7" spans="2:4" ht="33.75" x14ac:dyDescent="0.25">
      <c r="B7">
        <v>5</v>
      </c>
      <c r="C7" s="126" t="s">
        <v>6</v>
      </c>
      <c r="D7" s="125">
        <f>'informe PARCIAL 1 periodo (2)'!J42</f>
        <v>5</v>
      </c>
    </row>
    <row r="8" spans="2:4" ht="45" x14ac:dyDescent="0.25">
      <c r="B8">
        <v>6</v>
      </c>
      <c r="C8" s="126" t="s">
        <v>8</v>
      </c>
      <c r="D8" s="125">
        <f>'informe PARCIAL 1 periodo (2)'!K42</f>
        <v>4</v>
      </c>
    </row>
    <row r="9" spans="2:4" ht="22.5" x14ac:dyDescent="0.25">
      <c r="B9">
        <v>7</v>
      </c>
      <c r="C9" s="126" t="s">
        <v>10</v>
      </c>
      <c r="D9" s="125">
        <f>'informe PARCIAL 1 periodo (2)'!M42</f>
        <v>0</v>
      </c>
    </row>
    <row r="10" spans="2:4" ht="22.5" x14ac:dyDescent="0.25">
      <c r="B10">
        <v>8</v>
      </c>
      <c r="C10" s="126" t="s">
        <v>11</v>
      </c>
      <c r="D10" s="125">
        <f>'informe PARCIAL 1 periodo (2)'!N42</f>
        <v>14</v>
      </c>
    </row>
    <row r="11" spans="2:4" x14ac:dyDescent="0.25">
      <c r="B11">
        <v>9</v>
      </c>
      <c r="C11" s="126" t="s">
        <v>12</v>
      </c>
      <c r="D11" s="125">
        <f>'informe PARCIAL 1 periodo (2)'!O42</f>
        <v>19</v>
      </c>
    </row>
    <row r="12" spans="2:4" x14ac:dyDescent="0.25">
      <c r="B12">
        <v>10</v>
      </c>
      <c r="C12" s="126" t="s">
        <v>13</v>
      </c>
      <c r="D12" s="125">
        <f>'informe PARCIAL 1 periodo (2)'!Q42</f>
        <v>12</v>
      </c>
    </row>
    <row r="13" spans="2:4" x14ac:dyDescent="0.25">
      <c r="B13">
        <v>11</v>
      </c>
      <c r="C13" s="126" t="s">
        <v>14</v>
      </c>
      <c r="D13" s="125">
        <f>'informe PARCIAL 1 periodo (2)'!R42</f>
        <v>13</v>
      </c>
    </row>
    <row r="14" spans="2:4" x14ac:dyDescent="0.25">
      <c r="B14">
        <v>12</v>
      </c>
      <c r="C14" s="126" t="s">
        <v>15</v>
      </c>
      <c r="D14" s="125">
        <f>'informe PARCIAL 1 periodo (2)'!T42</f>
        <v>14</v>
      </c>
    </row>
    <row r="15" spans="2:4" x14ac:dyDescent="0.25">
      <c r="B15">
        <v>13</v>
      </c>
      <c r="C15" s="126" t="s">
        <v>16</v>
      </c>
      <c r="D15" s="125">
        <f>'informe PARCIAL 1 periodo (2)'!U42</f>
        <v>13</v>
      </c>
    </row>
    <row r="16" spans="2:4" ht="33.75" x14ac:dyDescent="0.25">
      <c r="C16" s="126" t="s">
        <v>135</v>
      </c>
      <c r="D16" s="125">
        <f>'informe PARCIAL 1 periodo (2)'!V42</f>
        <v>10</v>
      </c>
    </row>
    <row r="25" spans="6:9" ht="15.75" thickBot="1" x14ac:dyDescent="0.3"/>
    <row r="26" spans="6:9" ht="34.5" thickBot="1" x14ac:dyDescent="0.55000000000000004">
      <c r="F26" s="128" t="s">
        <v>232</v>
      </c>
      <c r="G26" s="128" t="s">
        <v>233</v>
      </c>
      <c r="H26" s="75"/>
      <c r="I26" s="75"/>
    </row>
    <row r="27" spans="6:9" ht="27" thickBot="1" x14ac:dyDescent="0.45">
      <c r="F27" s="129" t="s">
        <v>234</v>
      </c>
      <c r="G27" s="131">
        <v>0</v>
      </c>
    </row>
    <row r="28" spans="6:9" ht="27" thickBot="1" x14ac:dyDescent="0.45">
      <c r="F28" s="130" t="s">
        <v>235</v>
      </c>
      <c r="G28" s="132">
        <v>0</v>
      </c>
    </row>
    <row r="29" spans="6:9" ht="27" thickBot="1" x14ac:dyDescent="0.45">
      <c r="F29" s="129" t="s">
        <v>236</v>
      </c>
      <c r="G29" s="131">
        <v>0</v>
      </c>
    </row>
    <row r="30" spans="6:9" ht="27" thickBot="1" x14ac:dyDescent="0.45">
      <c r="F30" s="130" t="s">
        <v>237</v>
      </c>
      <c r="G30" s="132">
        <v>0</v>
      </c>
    </row>
    <row r="31" spans="6:9" ht="27" thickBot="1" x14ac:dyDescent="0.45">
      <c r="F31" s="129" t="s">
        <v>238</v>
      </c>
      <c r="G31" s="131">
        <v>0</v>
      </c>
    </row>
    <row r="32" spans="6:9" ht="27" thickBot="1" x14ac:dyDescent="0.45">
      <c r="F32" s="130" t="s">
        <v>239</v>
      </c>
      <c r="G32" s="132">
        <v>0</v>
      </c>
    </row>
  </sheetData>
  <pageMargins left="0.7" right="0.7" top="0.75" bottom="0.75" header="0.3" footer="0.3"/>
  <pageSetup orientation="portrait" horizontalDpi="4294967292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7"/>
  <sheetViews>
    <sheetView topLeftCell="A2" zoomScale="77" zoomScaleNormal="77" workbookViewId="0">
      <pane xSplit="3" ySplit="2" topLeftCell="D4" activePane="bottomRight" state="frozenSplit"/>
      <selection activeCell="C46" sqref="C46"/>
      <selection pane="topRight" activeCell="C46" sqref="C46"/>
      <selection pane="bottomLeft" activeCell="C46" sqref="C46"/>
      <selection pane="bottomRight" activeCell="J12" sqref="J12"/>
    </sheetView>
  </sheetViews>
  <sheetFormatPr baseColWidth="10" defaultRowHeight="15" x14ac:dyDescent="0.25"/>
  <cols>
    <col min="1" max="1" width="4.42578125" customWidth="1"/>
    <col min="2" max="2" width="10" customWidth="1"/>
    <col min="3" max="3" width="38" customWidth="1"/>
    <col min="4" max="4" width="8.140625" customWidth="1"/>
    <col min="5" max="5" width="7.85546875" bestFit="1" customWidth="1"/>
    <col min="6" max="6" width="7.7109375" customWidth="1"/>
    <col min="7" max="7" width="11" customWidth="1"/>
    <col min="8" max="8" width="8.140625" customWidth="1"/>
    <col min="9" max="10" width="8.85546875" bestFit="1" customWidth="1"/>
    <col min="11" max="11" width="9.28515625" bestFit="1" customWidth="1"/>
    <col min="12" max="12" width="8.28515625" bestFit="1" customWidth="1"/>
    <col min="13" max="13" width="8.28515625" customWidth="1"/>
    <col min="14" max="15" width="7.42578125" bestFit="1" customWidth="1"/>
    <col min="16" max="16" width="6.28515625" bestFit="1" customWidth="1"/>
    <col min="17" max="17" width="6.28515625" customWidth="1"/>
    <col min="18" max="18" width="5" bestFit="1" customWidth="1"/>
    <col min="19" max="19" width="5.7109375" bestFit="1" customWidth="1"/>
    <col min="20" max="20" width="6.7109375" bestFit="1" customWidth="1"/>
    <col min="21" max="21" width="5.140625" bestFit="1" customWidth="1"/>
    <col min="22" max="22" width="4.85546875" bestFit="1" customWidth="1"/>
    <col min="23" max="23" width="3.5703125" hidden="1" customWidth="1"/>
    <col min="24" max="24" width="0" hidden="1" customWidth="1"/>
    <col min="25" max="25" width="5" hidden="1" customWidth="1"/>
    <col min="26" max="26" width="45.85546875" hidden="1" customWidth="1"/>
    <col min="27" max="27" width="14" style="75" hidden="1" customWidth="1"/>
    <col min="28" max="28" width="18" style="75" hidden="1" customWidth="1"/>
    <col min="29" max="29" width="0" style="75" hidden="1" customWidth="1"/>
    <col min="30" max="30" width="19.7109375" style="75" hidden="1" customWidth="1"/>
    <col min="31" max="31" width="9.85546875" style="75" customWidth="1"/>
    <col min="32" max="35" width="11.42578125" style="75"/>
    <col min="36" max="36" width="18.7109375" style="75" bestFit="1" customWidth="1"/>
    <col min="37" max="40" width="11.42578125" style="75"/>
    <col min="41" max="41" width="31.85546875" style="75" customWidth="1"/>
    <col min="42" max="64" width="11.42578125" style="75"/>
  </cols>
  <sheetData>
    <row r="1" spans="1:64" ht="15.75" thickBot="1" x14ac:dyDescent="0.3">
      <c r="A1" s="176" t="s">
        <v>17</v>
      </c>
      <c r="B1" s="177"/>
      <c r="C1" s="7" t="s">
        <v>185</v>
      </c>
      <c r="D1" s="7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  <c r="W1" s="180" t="s">
        <v>20</v>
      </c>
    </row>
    <row r="2" spans="1:64" ht="102" thickBot="1" x14ac:dyDescent="0.3">
      <c r="A2" s="107" t="s">
        <v>0</v>
      </c>
      <c r="B2" s="105" t="s">
        <v>1</v>
      </c>
      <c r="C2" s="143" t="s">
        <v>2</v>
      </c>
      <c r="D2" s="144" t="s">
        <v>127</v>
      </c>
      <c r="E2" s="133" t="s">
        <v>3</v>
      </c>
      <c r="F2" s="133" t="s">
        <v>4</v>
      </c>
      <c r="G2" s="144" t="s">
        <v>5</v>
      </c>
      <c r="H2" s="134" t="s">
        <v>167</v>
      </c>
      <c r="I2" s="134" t="s">
        <v>165</v>
      </c>
      <c r="J2" s="139" t="s">
        <v>6</v>
      </c>
      <c r="K2" s="139" t="s">
        <v>8</v>
      </c>
      <c r="L2" s="144" t="s">
        <v>126</v>
      </c>
      <c r="M2" s="133" t="s">
        <v>10</v>
      </c>
      <c r="N2" s="133" t="s">
        <v>11</v>
      </c>
      <c r="O2" s="133" t="s">
        <v>12</v>
      </c>
      <c r="P2" s="144" t="s">
        <v>128</v>
      </c>
      <c r="Q2" s="133" t="s">
        <v>13</v>
      </c>
      <c r="R2" s="133" t="s">
        <v>14</v>
      </c>
      <c r="S2" s="144" t="s">
        <v>125</v>
      </c>
      <c r="T2" s="135" t="s">
        <v>15</v>
      </c>
      <c r="U2" s="136" t="s">
        <v>16</v>
      </c>
      <c r="V2" s="140" t="s">
        <v>135</v>
      </c>
      <c r="W2" s="181"/>
      <c r="X2" s="92" t="s">
        <v>168</v>
      </c>
      <c r="Y2" s="93" t="s">
        <v>169</v>
      </c>
      <c r="Z2" s="94" t="s">
        <v>170</v>
      </c>
    </row>
    <row r="3" spans="1:64" ht="15.75" thickBot="1" x14ac:dyDescent="0.3">
      <c r="A3" s="145"/>
      <c r="B3" s="145"/>
      <c r="C3" s="145"/>
      <c r="D3" s="175">
        <v>2</v>
      </c>
      <c r="E3" s="175">
        <v>2</v>
      </c>
      <c r="F3" s="175">
        <v>2</v>
      </c>
      <c r="G3" s="175">
        <v>2</v>
      </c>
      <c r="H3" s="175">
        <v>2</v>
      </c>
      <c r="I3" s="175">
        <v>2</v>
      </c>
      <c r="J3" s="175">
        <v>2</v>
      </c>
      <c r="K3" s="175">
        <v>2</v>
      </c>
      <c r="L3" s="175">
        <v>2</v>
      </c>
      <c r="M3" s="175">
        <v>2</v>
      </c>
      <c r="N3" s="175">
        <v>2</v>
      </c>
      <c r="O3" s="175">
        <v>2</v>
      </c>
      <c r="P3" s="175">
        <v>2</v>
      </c>
      <c r="Q3" s="175">
        <v>2</v>
      </c>
      <c r="R3" s="175">
        <v>2</v>
      </c>
      <c r="S3" s="175">
        <v>2</v>
      </c>
      <c r="T3" s="175">
        <v>2</v>
      </c>
      <c r="U3" s="175">
        <v>2</v>
      </c>
      <c r="V3" s="175">
        <v>2</v>
      </c>
      <c r="W3" s="183"/>
      <c r="X3" s="78"/>
      <c r="Y3" s="78"/>
      <c r="Z3" s="78"/>
      <c r="AF3" s="75" t="s">
        <v>224</v>
      </c>
      <c r="AG3" s="75" t="s">
        <v>225</v>
      </c>
    </row>
    <row r="4" spans="1:64" s="73" customFormat="1" ht="16.5" thickBot="1" x14ac:dyDescent="0.3">
      <c r="A4" s="162">
        <v>1</v>
      </c>
      <c r="B4" s="163"/>
      <c r="C4" s="173" t="s">
        <v>240</v>
      </c>
      <c r="D4" s="168" t="s">
        <v>265</v>
      </c>
      <c r="E4" s="168" t="s">
        <v>265</v>
      </c>
      <c r="F4" s="168" t="s">
        <v>265</v>
      </c>
      <c r="G4" s="168" t="s">
        <v>265</v>
      </c>
      <c r="H4" s="169"/>
      <c r="I4" s="169"/>
      <c r="J4" s="168" t="s">
        <v>49</v>
      </c>
      <c r="K4" s="168" t="s">
        <v>265</v>
      </c>
      <c r="L4" s="168" t="s">
        <v>49</v>
      </c>
      <c r="M4" s="168" t="s">
        <v>49</v>
      </c>
      <c r="N4" s="168" t="s">
        <v>265</v>
      </c>
      <c r="O4" s="168" t="s">
        <v>49</v>
      </c>
      <c r="P4" s="168" t="s">
        <v>265</v>
      </c>
      <c r="Q4" s="168" t="s">
        <v>265</v>
      </c>
      <c r="R4" s="168" t="s">
        <v>265</v>
      </c>
      <c r="S4" s="168" t="s">
        <v>49</v>
      </c>
      <c r="T4" s="168" t="s">
        <v>49</v>
      </c>
      <c r="U4" s="168" t="s">
        <v>49</v>
      </c>
      <c r="V4" s="168" t="s">
        <v>265</v>
      </c>
      <c r="W4" s="160">
        <f>COUNTIF(D4:V4,"X")-X4</f>
        <v>2</v>
      </c>
      <c r="X4" s="78">
        <f>COUNTA(D4,G4,L4,P4,S4)</f>
        <v>5</v>
      </c>
      <c r="Y4" s="78">
        <f>COUNTA(J4,K4,V4)</f>
        <v>3</v>
      </c>
      <c r="Z4" s="78" t="str">
        <f>IF(AND(X4=0,Y4=0),"Felicitaciones por el buen rendimiento Académico",IF(AND(X4=1,Y4=1),"Pasas con logros Pendientes",IF(AND(X4=1,Y4=0),"Pasas con logros Pendientes",IF(AND(X4=0,Y4=1),"Pasas con logros Pendientes","Tu año esta en riesgo de perderse"))))</f>
        <v>Tu año esta en riesgo de perderse</v>
      </c>
      <c r="AA4" s="75">
        <f>X4+Y4</f>
        <v>8</v>
      </c>
      <c r="AB4" s="75"/>
      <c r="AC4" s="75"/>
      <c r="AD4" s="75"/>
      <c r="AE4" s="75"/>
      <c r="AF4" s="110">
        <f>(COUNTIF(D4:V4,"X")-AG4)</f>
        <v>4</v>
      </c>
      <c r="AG4" s="75">
        <v>3</v>
      </c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</row>
    <row r="5" spans="1:64" ht="16.5" thickBot="1" x14ac:dyDescent="0.3">
      <c r="A5" s="162">
        <v>2</v>
      </c>
      <c r="B5" s="163"/>
      <c r="C5" s="173" t="s">
        <v>241</v>
      </c>
      <c r="D5" s="168" t="s">
        <v>265</v>
      </c>
      <c r="E5" s="168" t="s">
        <v>265</v>
      </c>
      <c r="F5" s="168" t="s">
        <v>265</v>
      </c>
      <c r="G5" s="168" t="s">
        <v>265</v>
      </c>
      <c r="H5" s="169"/>
      <c r="I5" s="169"/>
      <c r="J5" s="168" t="s">
        <v>265</v>
      </c>
      <c r="K5" s="168" t="s">
        <v>265</v>
      </c>
      <c r="L5" s="168" t="s">
        <v>49</v>
      </c>
      <c r="M5" s="168" t="s">
        <v>49</v>
      </c>
      <c r="N5" s="168" t="s">
        <v>49</v>
      </c>
      <c r="O5" s="168" t="s">
        <v>265</v>
      </c>
      <c r="P5" s="168" t="s">
        <v>265</v>
      </c>
      <c r="Q5" s="168" t="s">
        <v>49</v>
      </c>
      <c r="R5" s="168" t="s">
        <v>265</v>
      </c>
      <c r="S5" s="168" t="s">
        <v>265</v>
      </c>
      <c r="T5" s="168" t="s">
        <v>265</v>
      </c>
      <c r="U5" s="168" t="s">
        <v>265</v>
      </c>
      <c r="V5" s="168" t="s">
        <v>49</v>
      </c>
      <c r="W5" s="160">
        <f t="shared" ref="W5:W29" si="0">COUNTIF(D5:V5,"X")-X5</f>
        <v>0</v>
      </c>
      <c r="X5" s="78">
        <f t="shared" ref="X5:X29" si="1">COUNTA(D5,G5,L5,P5,S5)</f>
        <v>5</v>
      </c>
      <c r="Y5" s="78">
        <f t="shared" ref="Y5:Y29" si="2">COUNTA(J5,K5,V5)</f>
        <v>3</v>
      </c>
      <c r="Z5" s="78" t="str">
        <f t="shared" ref="Z5:Z29" si="3">IF(AND(X5=0,Y5=0),"Felicitaciones por el buen rendimiento Académico",IF(AND(X5=1,Y5=1),"Pasas con logros Pendientes",IF(AND(X5=1,Y5=0),"Pasas con logros Pendientes",IF(AND(X5=0,Y5=1),"Pasas con logros Pendientes","Tu año esta en riesgo de perderse"))))</f>
        <v>Tu año esta en riesgo de perderse</v>
      </c>
      <c r="AA5" s="75">
        <f t="shared" ref="AA5:AA29" si="4">X5+Y5</f>
        <v>8</v>
      </c>
      <c r="AC5" s="83" t="s">
        <v>136</v>
      </c>
      <c r="AD5" s="83" t="s">
        <v>176</v>
      </c>
      <c r="AF5" s="110">
        <f t="shared" ref="AF5:AF32" si="5">(COUNTIF(D5:V5,"X")-AG5)</f>
        <v>3</v>
      </c>
      <c r="AG5" s="75">
        <v>2</v>
      </c>
    </row>
    <row r="6" spans="1:64" ht="15.75" customHeight="1" thickBot="1" x14ac:dyDescent="0.3">
      <c r="A6" s="162">
        <v>3</v>
      </c>
      <c r="B6" s="163"/>
      <c r="C6" s="173" t="s">
        <v>272</v>
      </c>
      <c r="D6" s="168" t="s">
        <v>265</v>
      </c>
      <c r="E6" s="168" t="s">
        <v>265</v>
      </c>
      <c r="F6" s="168" t="s">
        <v>265</v>
      </c>
      <c r="G6" s="168" t="s">
        <v>265</v>
      </c>
      <c r="H6" s="169"/>
      <c r="I6" s="169"/>
      <c r="J6" s="168" t="s">
        <v>265</v>
      </c>
      <c r="K6" s="168" t="s">
        <v>265</v>
      </c>
      <c r="L6" s="168" t="s">
        <v>265</v>
      </c>
      <c r="M6" s="168" t="s">
        <v>265</v>
      </c>
      <c r="N6" s="168" t="s">
        <v>265</v>
      </c>
      <c r="O6" s="168" t="s">
        <v>265</v>
      </c>
      <c r="P6" s="168" t="s">
        <v>265</v>
      </c>
      <c r="Q6" s="168" t="s">
        <v>265</v>
      </c>
      <c r="R6" s="168" t="s">
        <v>265</v>
      </c>
      <c r="S6" s="168" t="s">
        <v>265</v>
      </c>
      <c r="T6" s="168" t="s">
        <v>265</v>
      </c>
      <c r="U6" s="168" t="s">
        <v>265</v>
      </c>
      <c r="V6" s="168" t="s">
        <v>265</v>
      </c>
      <c r="W6" s="160">
        <f t="shared" si="0"/>
        <v>-5</v>
      </c>
      <c r="X6" s="78">
        <f>COUNTA(D6,G6,L6,P6,S6)</f>
        <v>5</v>
      </c>
      <c r="Y6" s="78">
        <f t="shared" si="2"/>
        <v>3</v>
      </c>
      <c r="Z6" s="78" t="str">
        <f t="shared" si="3"/>
        <v>Tu año esta en riesgo de perderse</v>
      </c>
      <c r="AA6" s="75">
        <f t="shared" si="4"/>
        <v>8</v>
      </c>
      <c r="AC6" s="82" t="s">
        <v>24</v>
      </c>
      <c r="AD6" s="79">
        <f>COUNTIF($AA$4:$AA$29,"0")</f>
        <v>0</v>
      </c>
      <c r="AF6" s="110">
        <f t="shared" si="5"/>
        <v>0</v>
      </c>
      <c r="AG6" s="75">
        <v>0</v>
      </c>
      <c r="AI6" s="147" t="s">
        <v>133</v>
      </c>
      <c r="AJ6" s="147" t="s">
        <v>134</v>
      </c>
      <c r="AK6" s="147" t="s">
        <v>47</v>
      </c>
      <c r="AO6" s="148" t="s">
        <v>229</v>
      </c>
      <c r="AP6" s="148" t="s">
        <v>182</v>
      </c>
      <c r="AQ6" s="148" t="s">
        <v>47</v>
      </c>
    </row>
    <row r="7" spans="1:64" ht="19.5" customHeight="1" thickBot="1" x14ac:dyDescent="0.3">
      <c r="A7" s="162">
        <v>4</v>
      </c>
      <c r="B7" s="163"/>
      <c r="C7" s="173" t="s">
        <v>243</v>
      </c>
      <c r="D7" s="168" t="s">
        <v>265</v>
      </c>
      <c r="E7" s="168" t="s">
        <v>265</v>
      </c>
      <c r="F7" s="168" t="s">
        <v>265</v>
      </c>
      <c r="G7" s="168" t="s">
        <v>265</v>
      </c>
      <c r="H7" s="169"/>
      <c r="I7" s="169"/>
      <c r="J7" s="168" t="s">
        <v>49</v>
      </c>
      <c r="K7" s="168" t="s">
        <v>265</v>
      </c>
      <c r="L7" s="168" t="s">
        <v>49</v>
      </c>
      <c r="M7" s="168" t="s">
        <v>49</v>
      </c>
      <c r="N7" s="168" t="s">
        <v>265</v>
      </c>
      <c r="O7" s="168" t="s">
        <v>265</v>
      </c>
      <c r="P7" s="168" t="s">
        <v>265</v>
      </c>
      <c r="Q7" s="168" t="s">
        <v>49</v>
      </c>
      <c r="R7" s="168" t="s">
        <v>265</v>
      </c>
      <c r="S7" s="168" t="s">
        <v>49</v>
      </c>
      <c r="T7" s="168" t="s">
        <v>49</v>
      </c>
      <c r="U7" s="168" t="s">
        <v>49</v>
      </c>
      <c r="V7" s="168" t="s">
        <v>49</v>
      </c>
      <c r="W7" s="160">
        <f t="shared" si="0"/>
        <v>3</v>
      </c>
      <c r="X7" s="78">
        <f t="shared" si="1"/>
        <v>5</v>
      </c>
      <c r="Y7" s="78">
        <f t="shared" si="2"/>
        <v>3</v>
      </c>
      <c r="Z7" s="78" t="str">
        <f t="shared" si="3"/>
        <v>Tu año esta en riesgo de perderse</v>
      </c>
      <c r="AA7" s="75">
        <f t="shared" si="4"/>
        <v>8</v>
      </c>
      <c r="AC7" s="82" t="s">
        <v>25</v>
      </c>
      <c r="AD7" s="79">
        <f>COUNTIF($AA$4:$AA$29,"1")</f>
        <v>0</v>
      </c>
      <c r="AF7" s="110">
        <f t="shared" si="5"/>
        <v>4</v>
      </c>
      <c r="AG7" s="75">
        <v>4</v>
      </c>
      <c r="AI7" s="149" t="s">
        <v>24</v>
      </c>
      <c r="AJ7" s="150">
        <f>COUNTIF($AG$4:$AG$32,"0")</f>
        <v>10</v>
      </c>
      <c r="AK7" s="151">
        <f>AJ7/$AJ$17</f>
        <v>0.34482758620689657</v>
      </c>
      <c r="AO7" s="152" t="s">
        <v>230</v>
      </c>
      <c r="AP7" s="153">
        <f>AJ7</f>
        <v>10</v>
      </c>
      <c r="AQ7" s="154">
        <f>AP7/AP9</f>
        <v>0.34482758620689657</v>
      </c>
      <c r="AV7" s="75" t="s">
        <v>232</v>
      </c>
      <c r="AW7" s="75" t="s">
        <v>233</v>
      </c>
    </row>
    <row r="8" spans="1:64" ht="18.75" thickBot="1" x14ac:dyDescent="0.3">
      <c r="A8" s="162">
        <v>5</v>
      </c>
      <c r="B8" s="163"/>
      <c r="C8" s="173" t="s">
        <v>267</v>
      </c>
      <c r="D8" s="168" t="s">
        <v>265</v>
      </c>
      <c r="E8" s="168" t="s">
        <v>49</v>
      </c>
      <c r="F8" s="168" t="s">
        <v>265</v>
      </c>
      <c r="G8" s="168" t="s">
        <v>265</v>
      </c>
      <c r="H8" s="169"/>
      <c r="I8" s="169"/>
      <c r="J8" s="168" t="s">
        <v>49</v>
      </c>
      <c r="K8" s="168" t="s">
        <v>49</v>
      </c>
      <c r="L8" s="168" t="s">
        <v>49</v>
      </c>
      <c r="M8" s="168" t="s">
        <v>49</v>
      </c>
      <c r="N8" s="168" t="s">
        <v>265</v>
      </c>
      <c r="O8" s="168" t="s">
        <v>265</v>
      </c>
      <c r="P8" s="168" t="s">
        <v>265</v>
      </c>
      <c r="Q8" s="168" t="s">
        <v>49</v>
      </c>
      <c r="R8" s="168" t="s">
        <v>265</v>
      </c>
      <c r="S8" s="168" t="s">
        <v>49</v>
      </c>
      <c r="T8" s="168" t="s">
        <v>49</v>
      </c>
      <c r="U8" s="168" t="s">
        <v>49</v>
      </c>
      <c r="V8" s="168" t="s">
        <v>49</v>
      </c>
      <c r="W8" s="160">
        <f t="shared" si="0"/>
        <v>5</v>
      </c>
      <c r="X8" s="78">
        <f t="shared" si="1"/>
        <v>5</v>
      </c>
      <c r="Y8" s="78">
        <f t="shared" si="2"/>
        <v>3</v>
      </c>
      <c r="Z8" s="78" t="str">
        <f>IF(AND(X8=0,Y8=0),"Felicitaciones por el buen rendimiento Académico",IF(AND(X8=1,Y8=1),"Pasas con logros Pendientes",IF(AND(X8=1,Y8=0),"Pasas con logros Pendientes",IF(AND(X8=0,Y8=1),"Pasas con logros Pendientes","Tu año esta en riesgo de perderse"))))</f>
        <v>Tu año esta en riesgo de perderse</v>
      </c>
      <c r="AA8" s="75">
        <f t="shared" si="4"/>
        <v>8</v>
      </c>
      <c r="AC8" s="82" t="s">
        <v>26</v>
      </c>
      <c r="AD8" s="79">
        <f>COUNTIF($AA$4:$AA$29,"2")</f>
        <v>0</v>
      </c>
      <c r="AF8" s="110">
        <f t="shared" si="5"/>
        <v>5</v>
      </c>
      <c r="AG8" s="75">
        <v>5</v>
      </c>
      <c r="AI8" s="149" t="s">
        <v>25</v>
      </c>
      <c r="AJ8" s="150">
        <f>COUNTIF($AG$4:$AG$32,"1")</f>
        <v>6</v>
      </c>
      <c r="AK8" s="151">
        <f t="shared" ref="AK8:AK15" si="6">AJ8/$AJ$17</f>
        <v>0.20689655172413793</v>
      </c>
      <c r="AO8" s="152" t="s">
        <v>231</v>
      </c>
      <c r="AP8" s="153">
        <f>AP9-AP7</f>
        <v>19</v>
      </c>
      <c r="AQ8" s="154">
        <f>AP8/AP9</f>
        <v>0.65517241379310343</v>
      </c>
    </row>
    <row r="9" spans="1:64" ht="18.75" thickBot="1" x14ac:dyDescent="0.3">
      <c r="A9" s="162">
        <v>6</v>
      </c>
      <c r="B9" s="163"/>
      <c r="C9" s="173" t="s">
        <v>268</v>
      </c>
      <c r="D9" s="168" t="s">
        <v>49</v>
      </c>
      <c r="E9" s="168" t="s">
        <v>49</v>
      </c>
      <c r="F9" s="168" t="s">
        <v>49</v>
      </c>
      <c r="G9" s="168" t="s">
        <v>265</v>
      </c>
      <c r="H9" s="169"/>
      <c r="I9" s="169"/>
      <c r="J9" s="168" t="s">
        <v>49</v>
      </c>
      <c r="K9" s="168" t="s">
        <v>265</v>
      </c>
      <c r="L9" s="168" t="s">
        <v>49</v>
      </c>
      <c r="M9" s="168" t="s">
        <v>49</v>
      </c>
      <c r="N9" s="168" t="s">
        <v>49</v>
      </c>
      <c r="O9" s="168" t="s">
        <v>49</v>
      </c>
      <c r="P9" s="168" t="s">
        <v>49</v>
      </c>
      <c r="Q9" s="168" t="s">
        <v>49</v>
      </c>
      <c r="R9" s="168" t="s">
        <v>49</v>
      </c>
      <c r="S9" s="168" t="s">
        <v>49</v>
      </c>
      <c r="T9" s="168" t="s">
        <v>49</v>
      </c>
      <c r="U9" s="168" t="s">
        <v>49</v>
      </c>
      <c r="V9" s="168" t="s">
        <v>265</v>
      </c>
      <c r="W9" s="160">
        <f t="shared" si="0"/>
        <v>9</v>
      </c>
      <c r="X9" s="78">
        <f t="shared" si="1"/>
        <v>5</v>
      </c>
      <c r="Y9" s="78">
        <f t="shared" si="2"/>
        <v>3</v>
      </c>
      <c r="Z9" s="78" t="str">
        <f t="shared" si="3"/>
        <v>Tu año esta en riesgo de perderse</v>
      </c>
      <c r="AA9" s="75">
        <f t="shared" si="4"/>
        <v>8</v>
      </c>
      <c r="AC9" s="82" t="s">
        <v>27</v>
      </c>
      <c r="AD9" s="79">
        <f>COUNTIF($AA$4:$AA$29,"3")</f>
        <v>0</v>
      </c>
      <c r="AF9" s="110">
        <f>(COUNTIF(D9:V9,"X")-AG9)</f>
        <v>9</v>
      </c>
      <c r="AG9" s="75">
        <v>5</v>
      </c>
      <c r="AI9" s="149" t="s">
        <v>26</v>
      </c>
      <c r="AJ9" s="150">
        <f>COUNTIF($AG$4:$AG$32,"2")</f>
        <v>3</v>
      </c>
      <c r="AK9" s="151">
        <f t="shared" si="6"/>
        <v>0.10344827586206896</v>
      </c>
      <c r="AO9" s="152" t="s">
        <v>228</v>
      </c>
      <c r="AP9" s="153">
        <f>AJ17</f>
        <v>29</v>
      </c>
      <c r="AQ9" s="154">
        <v>1</v>
      </c>
    </row>
    <row r="10" spans="1:64" ht="16.5" thickBot="1" x14ac:dyDescent="0.3">
      <c r="A10" s="162">
        <v>7</v>
      </c>
      <c r="B10" s="163"/>
      <c r="C10" s="173" t="s">
        <v>247</v>
      </c>
      <c r="D10" s="168" t="s">
        <v>265</v>
      </c>
      <c r="E10" s="168" t="s">
        <v>265</v>
      </c>
      <c r="F10" s="168" t="s">
        <v>265</v>
      </c>
      <c r="G10" s="168" t="s">
        <v>265</v>
      </c>
      <c r="H10" s="169"/>
      <c r="I10" s="169"/>
      <c r="J10" s="168" t="s">
        <v>49</v>
      </c>
      <c r="K10" s="168" t="s">
        <v>265</v>
      </c>
      <c r="L10" s="168" t="s">
        <v>265</v>
      </c>
      <c r="M10" s="168" t="s">
        <v>265</v>
      </c>
      <c r="N10" s="168" t="s">
        <v>265</v>
      </c>
      <c r="O10" s="168" t="s">
        <v>265</v>
      </c>
      <c r="P10" s="168" t="s">
        <v>265</v>
      </c>
      <c r="Q10" s="168" t="s">
        <v>49</v>
      </c>
      <c r="R10" s="168" t="s">
        <v>265</v>
      </c>
      <c r="S10" s="168" t="s">
        <v>49</v>
      </c>
      <c r="T10" s="168" t="s">
        <v>49</v>
      </c>
      <c r="U10" s="168" t="s">
        <v>49</v>
      </c>
      <c r="V10" s="168" t="s">
        <v>49</v>
      </c>
      <c r="W10" s="160">
        <f t="shared" si="0"/>
        <v>1</v>
      </c>
      <c r="X10" s="78">
        <f t="shared" si="1"/>
        <v>5</v>
      </c>
      <c r="Y10" s="78">
        <f t="shared" si="2"/>
        <v>3</v>
      </c>
      <c r="Z10" s="78" t="str">
        <f t="shared" si="3"/>
        <v>Tu año esta en riesgo de perderse</v>
      </c>
      <c r="AA10" s="75">
        <f t="shared" si="4"/>
        <v>8</v>
      </c>
      <c r="AC10" s="82" t="s">
        <v>28</v>
      </c>
      <c r="AD10" s="79">
        <f>COUNTIF($AA$4:$AA$29,"4")</f>
        <v>0</v>
      </c>
      <c r="AF10" s="110">
        <f t="shared" si="5"/>
        <v>3</v>
      </c>
      <c r="AG10" s="75">
        <v>3</v>
      </c>
      <c r="AI10" s="149" t="s">
        <v>27</v>
      </c>
      <c r="AJ10" s="150">
        <f>COUNTIF($AG$4:$AG$32,"3")</f>
        <v>3</v>
      </c>
      <c r="AK10" s="151">
        <f t="shared" si="6"/>
        <v>0.10344827586206896</v>
      </c>
    </row>
    <row r="11" spans="1:64" ht="16.5" thickBot="1" x14ac:dyDescent="0.3">
      <c r="A11" s="162">
        <v>8</v>
      </c>
      <c r="B11" s="163"/>
      <c r="C11" s="173" t="s">
        <v>273</v>
      </c>
      <c r="D11" s="168" t="s">
        <v>265</v>
      </c>
      <c r="E11" s="168" t="s">
        <v>265</v>
      </c>
      <c r="F11" s="168" t="s">
        <v>265</v>
      </c>
      <c r="G11" s="168" t="s">
        <v>265</v>
      </c>
      <c r="H11" s="169"/>
      <c r="I11" s="169"/>
      <c r="J11" s="168" t="s">
        <v>265</v>
      </c>
      <c r="K11" s="168" t="s">
        <v>265</v>
      </c>
      <c r="L11" s="168" t="s">
        <v>265</v>
      </c>
      <c r="M11" s="168" t="s">
        <v>265</v>
      </c>
      <c r="N11" s="168" t="s">
        <v>265</v>
      </c>
      <c r="O11" s="168" t="s">
        <v>265</v>
      </c>
      <c r="P11" s="168" t="s">
        <v>265</v>
      </c>
      <c r="Q11" s="168" t="s">
        <v>265</v>
      </c>
      <c r="R11" s="168" t="s">
        <v>265</v>
      </c>
      <c r="S11" s="168" t="s">
        <v>265</v>
      </c>
      <c r="T11" s="168" t="s">
        <v>265</v>
      </c>
      <c r="U11" s="168" t="s">
        <v>265</v>
      </c>
      <c r="V11" s="168" t="s">
        <v>265</v>
      </c>
      <c r="W11" s="160">
        <f t="shared" si="0"/>
        <v>-5</v>
      </c>
      <c r="X11" s="78">
        <f t="shared" si="1"/>
        <v>5</v>
      </c>
      <c r="Y11" s="78">
        <f t="shared" si="2"/>
        <v>3</v>
      </c>
      <c r="Z11" s="78" t="str">
        <f t="shared" si="3"/>
        <v>Tu año esta en riesgo de perderse</v>
      </c>
      <c r="AA11" s="75">
        <f t="shared" si="4"/>
        <v>8</v>
      </c>
      <c r="AC11" s="82" t="s">
        <v>29</v>
      </c>
      <c r="AD11" s="79">
        <f>COUNTIF($AA$4:$AA$29,"5")</f>
        <v>0</v>
      </c>
      <c r="AF11" s="110">
        <f t="shared" si="5"/>
        <v>0</v>
      </c>
      <c r="AG11" s="75">
        <v>0</v>
      </c>
      <c r="AI11" s="149" t="s">
        <v>28</v>
      </c>
      <c r="AJ11" s="150">
        <f>COUNTIF($AG$4:$AG$32,"4")</f>
        <v>2</v>
      </c>
      <c r="AK11" s="151">
        <f t="shared" si="6"/>
        <v>6.8965517241379309E-2</v>
      </c>
    </row>
    <row r="12" spans="1:64" ht="16.5" thickBot="1" x14ac:dyDescent="0.3">
      <c r="A12" s="162">
        <v>9</v>
      </c>
      <c r="B12" s="163"/>
      <c r="C12" s="173" t="s">
        <v>269</v>
      </c>
      <c r="D12" s="168" t="s">
        <v>265</v>
      </c>
      <c r="E12" s="168" t="s">
        <v>265</v>
      </c>
      <c r="F12" s="168" t="s">
        <v>265</v>
      </c>
      <c r="G12" s="168" t="s">
        <v>265</v>
      </c>
      <c r="H12" s="169"/>
      <c r="I12" s="169"/>
      <c r="J12" s="168" t="s">
        <v>49</v>
      </c>
      <c r="K12" s="168" t="s">
        <v>265</v>
      </c>
      <c r="L12" s="168" t="s">
        <v>265</v>
      </c>
      <c r="M12" s="168" t="s">
        <v>265</v>
      </c>
      <c r="N12" s="168" t="s">
        <v>265</v>
      </c>
      <c r="O12" s="168" t="s">
        <v>265</v>
      </c>
      <c r="P12" s="168" t="s">
        <v>265</v>
      </c>
      <c r="Q12" s="168" t="s">
        <v>265</v>
      </c>
      <c r="R12" s="168" t="s">
        <v>265</v>
      </c>
      <c r="S12" s="168" t="s">
        <v>265</v>
      </c>
      <c r="T12" s="168" t="s">
        <v>265</v>
      </c>
      <c r="U12" s="168" t="s">
        <v>265</v>
      </c>
      <c r="V12" s="168" t="s">
        <v>265</v>
      </c>
      <c r="W12" s="160">
        <f t="shared" si="0"/>
        <v>-4</v>
      </c>
      <c r="X12" s="78">
        <f t="shared" si="1"/>
        <v>5</v>
      </c>
      <c r="Y12" s="78">
        <f t="shared" si="2"/>
        <v>3</v>
      </c>
      <c r="Z12" s="78" t="str">
        <f t="shared" si="3"/>
        <v>Tu año esta en riesgo de perderse</v>
      </c>
      <c r="AA12" s="75">
        <f t="shared" si="4"/>
        <v>8</v>
      </c>
      <c r="AC12" s="82" t="s">
        <v>30</v>
      </c>
      <c r="AD12" s="79">
        <f>COUNTIF($AA$4:$AA$29,"6")</f>
        <v>0</v>
      </c>
      <c r="AF12" s="110">
        <f t="shared" si="5"/>
        <v>0</v>
      </c>
      <c r="AG12" s="75">
        <v>1</v>
      </c>
      <c r="AI12" s="149" t="s">
        <v>29</v>
      </c>
      <c r="AJ12" s="150">
        <f>COUNTIF($AG$4:$AG$32,"5")</f>
        <v>3</v>
      </c>
      <c r="AK12" s="151">
        <f t="shared" si="6"/>
        <v>0.10344827586206896</v>
      </c>
    </row>
    <row r="13" spans="1:64" ht="16.5" thickBot="1" x14ac:dyDescent="0.3">
      <c r="A13" s="162">
        <v>10</v>
      </c>
      <c r="B13" s="163"/>
      <c r="C13" s="173" t="s">
        <v>270</v>
      </c>
      <c r="D13" s="168" t="s">
        <v>49</v>
      </c>
      <c r="E13" s="168" t="s">
        <v>49</v>
      </c>
      <c r="F13" s="168" t="s">
        <v>265</v>
      </c>
      <c r="G13" s="168" t="s">
        <v>265</v>
      </c>
      <c r="H13" s="169"/>
      <c r="I13" s="169"/>
      <c r="J13" s="168" t="s">
        <v>49</v>
      </c>
      <c r="K13" s="168" t="s">
        <v>265</v>
      </c>
      <c r="L13" s="168" t="s">
        <v>49</v>
      </c>
      <c r="M13" s="168" t="s">
        <v>49</v>
      </c>
      <c r="N13" s="168" t="s">
        <v>49</v>
      </c>
      <c r="O13" s="168" t="s">
        <v>49</v>
      </c>
      <c r="P13" s="168" t="s">
        <v>49</v>
      </c>
      <c r="Q13" s="168" t="s">
        <v>49</v>
      </c>
      <c r="R13" s="168" t="s">
        <v>49</v>
      </c>
      <c r="S13" s="168" t="s">
        <v>49</v>
      </c>
      <c r="T13" s="168" t="s">
        <v>49</v>
      </c>
      <c r="U13" s="168" t="s">
        <v>49</v>
      </c>
      <c r="V13" s="168" t="s">
        <v>49</v>
      </c>
      <c r="W13" s="160">
        <f t="shared" si="0"/>
        <v>9</v>
      </c>
      <c r="X13" s="78">
        <f t="shared" si="1"/>
        <v>5</v>
      </c>
      <c r="Y13" s="78">
        <f t="shared" si="2"/>
        <v>3</v>
      </c>
      <c r="Z13" s="78" t="str">
        <f t="shared" si="3"/>
        <v>Tu año esta en riesgo de perderse</v>
      </c>
      <c r="AA13" s="75">
        <f t="shared" si="4"/>
        <v>8</v>
      </c>
      <c r="AC13" s="82" t="s">
        <v>31</v>
      </c>
      <c r="AD13" s="79">
        <f>COUNTIF($AA$4:$AA$29,"7")</f>
        <v>0</v>
      </c>
      <c r="AF13" s="110">
        <f t="shared" si="5"/>
        <v>8</v>
      </c>
      <c r="AG13" s="75">
        <v>6</v>
      </c>
      <c r="AI13" s="149" t="s">
        <v>30</v>
      </c>
      <c r="AJ13" s="150">
        <f>COUNTIF($AG$4:$AG$32,"6")</f>
        <v>2</v>
      </c>
      <c r="AK13" s="151">
        <f t="shared" si="6"/>
        <v>6.8965517241379309E-2</v>
      </c>
    </row>
    <row r="14" spans="1:64" ht="16.5" thickBot="1" x14ac:dyDescent="0.3">
      <c r="A14" s="162">
        <v>11</v>
      </c>
      <c r="B14" s="163"/>
      <c r="C14" s="173" t="s">
        <v>248</v>
      </c>
      <c r="D14" s="168" t="s">
        <v>265</v>
      </c>
      <c r="E14" s="168" t="s">
        <v>49</v>
      </c>
      <c r="F14" s="168" t="s">
        <v>265</v>
      </c>
      <c r="G14" s="168" t="s">
        <v>265</v>
      </c>
      <c r="H14" s="169"/>
      <c r="I14" s="169"/>
      <c r="J14" s="168" t="s">
        <v>49</v>
      </c>
      <c r="K14" s="168" t="s">
        <v>49</v>
      </c>
      <c r="L14" s="168" t="s">
        <v>265</v>
      </c>
      <c r="M14" s="168" t="s">
        <v>49</v>
      </c>
      <c r="N14" s="168" t="s">
        <v>265</v>
      </c>
      <c r="O14" s="168" t="s">
        <v>265</v>
      </c>
      <c r="P14" s="168" t="s">
        <v>265</v>
      </c>
      <c r="Q14" s="168" t="s">
        <v>265</v>
      </c>
      <c r="R14" s="168" t="s">
        <v>265</v>
      </c>
      <c r="S14" s="168" t="s">
        <v>265</v>
      </c>
      <c r="T14" s="168" t="s">
        <v>265</v>
      </c>
      <c r="U14" s="168" t="s">
        <v>265</v>
      </c>
      <c r="V14" s="168" t="s">
        <v>265</v>
      </c>
      <c r="W14" s="160">
        <f t="shared" si="0"/>
        <v>-1</v>
      </c>
      <c r="X14" s="78">
        <f t="shared" si="1"/>
        <v>5</v>
      </c>
      <c r="Y14" s="78">
        <f t="shared" si="2"/>
        <v>3</v>
      </c>
      <c r="Z14" s="78" t="str">
        <f t="shared" si="3"/>
        <v>Tu año esta en riesgo de perderse</v>
      </c>
      <c r="AA14" s="75">
        <f t="shared" si="4"/>
        <v>8</v>
      </c>
      <c r="AC14" s="82" t="s">
        <v>32</v>
      </c>
      <c r="AD14" s="79">
        <f>COUNTIF($AA$4:$AA$29,"8")</f>
        <v>26</v>
      </c>
      <c r="AF14" s="110">
        <f t="shared" si="5"/>
        <v>2</v>
      </c>
      <c r="AG14" s="75">
        <v>2</v>
      </c>
      <c r="AI14" s="149" t="s">
        <v>31</v>
      </c>
      <c r="AJ14" s="150">
        <f>COUNTIF($AG$4:$AG$32,"7")</f>
        <v>0</v>
      </c>
      <c r="AK14" s="151">
        <f t="shared" si="6"/>
        <v>0</v>
      </c>
    </row>
    <row r="15" spans="1:64" ht="16.5" thickBot="1" x14ac:dyDescent="0.3">
      <c r="A15" s="162">
        <v>12</v>
      </c>
      <c r="B15" s="163"/>
      <c r="C15" s="173" t="s">
        <v>274</v>
      </c>
      <c r="D15" s="168" t="s">
        <v>265</v>
      </c>
      <c r="E15" s="168" t="s">
        <v>265</v>
      </c>
      <c r="F15" s="168" t="s">
        <v>265</v>
      </c>
      <c r="G15" s="168" t="s">
        <v>265</v>
      </c>
      <c r="H15" s="169"/>
      <c r="I15" s="169"/>
      <c r="J15" s="168" t="s">
        <v>265</v>
      </c>
      <c r="K15" s="168" t="s">
        <v>265</v>
      </c>
      <c r="L15" s="168" t="s">
        <v>265</v>
      </c>
      <c r="M15" s="168" t="s">
        <v>265</v>
      </c>
      <c r="N15" s="168" t="s">
        <v>265</v>
      </c>
      <c r="O15" s="168" t="s">
        <v>265</v>
      </c>
      <c r="P15" s="168" t="s">
        <v>265</v>
      </c>
      <c r="Q15" s="168" t="s">
        <v>265</v>
      </c>
      <c r="R15" s="168" t="s">
        <v>265</v>
      </c>
      <c r="S15" s="168" t="s">
        <v>265</v>
      </c>
      <c r="T15" s="168" t="s">
        <v>265</v>
      </c>
      <c r="U15" s="168" t="s">
        <v>265</v>
      </c>
      <c r="V15" s="168" t="s">
        <v>265</v>
      </c>
      <c r="W15" s="160">
        <f t="shared" si="0"/>
        <v>-5</v>
      </c>
      <c r="X15" s="78">
        <f t="shared" si="1"/>
        <v>5</v>
      </c>
      <c r="Y15" s="78">
        <f t="shared" si="2"/>
        <v>3</v>
      </c>
      <c r="Z15" s="78" t="str">
        <f t="shared" si="3"/>
        <v>Tu año esta en riesgo de perderse</v>
      </c>
      <c r="AA15" s="75">
        <f t="shared" si="4"/>
        <v>8</v>
      </c>
      <c r="AC15" s="81"/>
      <c r="AF15" s="110">
        <f t="shared" si="5"/>
        <v>0</v>
      </c>
      <c r="AG15" s="75">
        <v>0</v>
      </c>
      <c r="AI15" s="149" t="s">
        <v>32</v>
      </c>
      <c r="AJ15" s="150">
        <f>COUNTIF($AG$4:$AG$32,"8")</f>
        <v>0</v>
      </c>
      <c r="AK15" s="151">
        <f t="shared" si="6"/>
        <v>0</v>
      </c>
    </row>
    <row r="16" spans="1:64" s="73" customFormat="1" ht="15.75" thickBot="1" x14ac:dyDescent="0.3">
      <c r="A16" s="162">
        <v>13</v>
      </c>
      <c r="B16" s="163"/>
      <c r="C16" s="173" t="s">
        <v>275</v>
      </c>
      <c r="D16" s="168" t="s">
        <v>265</v>
      </c>
      <c r="E16" s="168" t="s">
        <v>265</v>
      </c>
      <c r="F16" s="168" t="s">
        <v>265</v>
      </c>
      <c r="G16" s="168" t="s">
        <v>265</v>
      </c>
      <c r="H16" s="169"/>
      <c r="I16" s="169"/>
      <c r="J16" s="168" t="s">
        <v>265</v>
      </c>
      <c r="K16" s="168" t="s">
        <v>265</v>
      </c>
      <c r="L16" s="168" t="s">
        <v>265</v>
      </c>
      <c r="M16" s="168" t="s">
        <v>49</v>
      </c>
      <c r="N16" s="168" t="s">
        <v>265</v>
      </c>
      <c r="O16" s="168" t="s">
        <v>265</v>
      </c>
      <c r="P16" s="168" t="s">
        <v>265</v>
      </c>
      <c r="Q16" s="168" t="s">
        <v>265</v>
      </c>
      <c r="R16" s="168" t="s">
        <v>265</v>
      </c>
      <c r="S16" s="168" t="s">
        <v>265</v>
      </c>
      <c r="T16" s="168" t="s">
        <v>265</v>
      </c>
      <c r="U16" s="168" t="s">
        <v>265</v>
      </c>
      <c r="V16" s="168" t="s">
        <v>265</v>
      </c>
      <c r="W16" s="161">
        <f t="shared" si="0"/>
        <v>-4</v>
      </c>
      <c r="X16" s="78">
        <f t="shared" si="1"/>
        <v>5</v>
      </c>
      <c r="Y16" s="78">
        <f t="shared" si="2"/>
        <v>3</v>
      </c>
      <c r="Z16" s="78" t="str">
        <f t="shared" si="3"/>
        <v>Tu año esta en riesgo de perderse</v>
      </c>
      <c r="AA16" s="75">
        <f t="shared" si="4"/>
        <v>8</v>
      </c>
      <c r="AB16" s="75"/>
      <c r="AC16" s="81"/>
      <c r="AD16" s="75"/>
      <c r="AE16" s="75"/>
      <c r="AF16" s="110">
        <f t="shared" si="5"/>
        <v>1</v>
      </c>
      <c r="AG16" s="75">
        <v>0</v>
      </c>
      <c r="AH16" s="75"/>
      <c r="AI16" s="55"/>
      <c r="AJ16"/>
      <c r="AK16" s="15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</row>
    <row r="17" spans="1:64" s="73" customFormat="1" ht="19.5" thickBot="1" x14ac:dyDescent="0.35">
      <c r="A17" s="162">
        <v>14</v>
      </c>
      <c r="B17" s="163"/>
      <c r="C17" s="173" t="s">
        <v>251</v>
      </c>
      <c r="D17" s="168" t="s">
        <v>265</v>
      </c>
      <c r="E17" s="168" t="s">
        <v>265</v>
      </c>
      <c r="F17" s="168" t="s">
        <v>265</v>
      </c>
      <c r="G17" s="168" t="s">
        <v>265</v>
      </c>
      <c r="H17" s="169"/>
      <c r="I17" s="169"/>
      <c r="J17" s="168" t="s">
        <v>49</v>
      </c>
      <c r="K17" s="168" t="s">
        <v>265</v>
      </c>
      <c r="L17" s="168" t="s">
        <v>265</v>
      </c>
      <c r="M17" s="168" t="s">
        <v>265</v>
      </c>
      <c r="N17" s="168" t="s">
        <v>265</v>
      </c>
      <c r="O17" s="168" t="s">
        <v>265</v>
      </c>
      <c r="P17" s="168" t="s">
        <v>265</v>
      </c>
      <c r="Q17" s="168" t="s">
        <v>265</v>
      </c>
      <c r="R17" s="168" t="s">
        <v>265</v>
      </c>
      <c r="S17" s="168" t="s">
        <v>265</v>
      </c>
      <c r="T17" s="168" t="s">
        <v>265</v>
      </c>
      <c r="U17" s="168" t="s">
        <v>265</v>
      </c>
      <c r="V17" s="168" t="s">
        <v>265</v>
      </c>
      <c r="W17" s="161"/>
      <c r="X17" s="78">
        <f t="shared" si="1"/>
        <v>5</v>
      </c>
      <c r="Y17" s="78">
        <f t="shared" si="2"/>
        <v>3</v>
      </c>
      <c r="Z17" s="78" t="str">
        <f t="shared" si="3"/>
        <v>Tu año esta en riesgo de perderse</v>
      </c>
      <c r="AA17" s="75">
        <f t="shared" si="4"/>
        <v>8</v>
      </c>
      <c r="AB17" s="75"/>
      <c r="AC17" s="81"/>
      <c r="AD17" s="75"/>
      <c r="AE17" s="75"/>
      <c r="AF17" s="110">
        <f t="shared" si="5"/>
        <v>0</v>
      </c>
      <c r="AG17" s="75">
        <v>1</v>
      </c>
      <c r="AH17" s="75"/>
      <c r="AI17" s="156" t="s">
        <v>228</v>
      </c>
      <c r="AJ17" s="125">
        <f>SUM(AJ7:AJ16)</f>
        <v>29</v>
      </c>
      <c r="AK17" s="157">
        <f>SUM(AK7:AK16)</f>
        <v>1</v>
      </c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</row>
    <row r="18" spans="1:64" ht="16.5" thickBot="1" x14ac:dyDescent="0.3">
      <c r="A18" s="162">
        <v>15</v>
      </c>
      <c r="B18" s="163"/>
      <c r="C18" s="173" t="s">
        <v>276</v>
      </c>
      <c r="D18" s="168" t="s">
        <v>265</v>
      </c>
      <c r="E18" s="168" t="s">
        <v>265</v>
      </c>
      <c r="F18" s="168" t="s">
        <v>265</v>
      </c>
      <c r="G18" s="168" t="s">
        <v>265</v>
      </c>
      <c r="H18" s="169"/>
      <c r="I18" s="169"/>
      <c r="J18" s="168" t="s">
        <v>265</v>
      </c>
      <c r="K18" s="168" t="s">
        <v>265</v>
      </c>
      <c r="L18" s="168" t="s">
        <v>265</v>
      </c>
      <c r="M18" s="168" t="s">
        <v>265</v>
      </c>
      <c r="N18" s="168" t="s">
        <v>265</v>
      </c>
      <c r="O18" s="168" t="s">
        <v>265</v>
      </c>
      <c r="P18" s="168" t="s">
        <v>265</v>
      </c>
      <c r="Q18" s="168" t="s">
        <v>265</v>
      </c>
      <c r="R18" s="168" t="s">
        <v>265</v>
      </c>
      <c r="S18" s="168" t="s">
        <v>265</v>
      </c>
      <c r="T18" s="168" t="s">
        <v>265</v>
      </c>
      <c r="U18" s="168" t="s">
        <v>265</v>
      </c>
      <c r="V18" s="168" t="s">
        <v>265</v>
      </c>
      <c r="W18" s="160">
        <f t="shared" si="0"/>
        <v>-5</v>
      </c>
      <c r="X18" s="78">
        <f t="shared" si="1"/>
        <v>5</v>
      </c>
      <c r="Y18" s="78">
        <f t="shared" si="2"/>
        <v>3</v>
      </c>
      <c r="Z18" s="78" t="str">
        <f t="shared" si="3"/>
        <v>Tu año esta en riesgo de perderse</v>
      </c>
      <c r="AA18" s="75">
        <f t="shared" si="4"/>
        <v>8</v>
      </c>
      <c r="AF18" s="110">
        <f t="shared" si="5"/>
        <v>0</v>
      </c>
      <c r="AG18" s="75">
        <v>0</v>
      </c>
    </row>
    <row r="19" spans="1:64" ht="16.5" thickBot="1" x14ac:dyDescent="0.3">
      <c r="A19" s="162">
        <v>16</v>
      </c>
      <c r="B19" s="163"/>
      <c r="C19" s="173" t="s">
        <v>266</v>
      </c>
      <c r="D19" s="168" t="s">
        <v>265</v>
      </c>
      <c r="E19" s="168" t="s">
        <v>265</v>
      </c>
      <c r="F19" s="168" t="s">
        <v>265</v>
      </c>
      <c r="G19" s="168" t="s">
        <v>265</v>
      </c>
      <c r="H19" s="169"/>
      <c r="I19" s="169"/>
      <c r="J19" s="168" t="s">
        <v>49</v>
      </c>
      <c r="K19" s="168" t="s">
        <v>265</v>
      </c>
      <c r="L19" s="168" t="s">
        <v>49</v>
      </c>
      <c r="M19" s="168" t="s">
        <v>49</v>
      </c>
      <c r="N19" s="168" t="s">
        <v>49</v>
      </c>
      <c r="O19" s="168" t="s">
        <v>49</v>
      </c>
      <c r="P19" s="168" t="s">
        <v>265</v>
      </c>
      <c r="Q19" s="168" t="s">
        <v>265</v>
      </c>
      <c r="R19" s="168" t="s">
        <v>265</v>
      </c>
      <c r="S19" s="168" t="s">
        <v>265</v>
      </c>
      <c r="T19" s="168" t="s">
        <v>265</v>
      </c>
      <c r="U19" s="168" t="s">
        <v>265</v>
      </c>
      <c r="V19" s="168" t="s">
        <v>49</v>
      </c>
      <c r="W19" s="160">
        <f t="shared" si="0"/>
        <v>1</v>
      </c>
      <c r="X19" s="78">
        <f t="shared" si="1"/>
        <v>5</v>
      </c>
      <c r="Y19" s="78">
        <f t="shared" si="2"/>
        <v>3</v>
      </c>
      <c r="Z19" s="78" t="str">
        <f t="shared" si="3"/>
        <v>Tu año esta en riesgo de perderse</v>
      </c>
      <c r="AA19" s="75">
        <f t="shared" si="4"/>
        <v>8</v>
      </c>
      <c r="AF19" s="110">
        <f t="shared" si="5"/>
        <v>3</v>
      </c>
      <c r="AG19" s="75">
        <v>3</v>
      </c>
    </row>
    <row r="20" spans="1:64" ht="16.5" thickBot="1" x14ac:dyDescent="0.3">
      <c r="A20" s="162">
        <v>17</v>
      </c>
      <c r="B20" s="163"/>
      <c r="C20" s="173" t="s">
        <v>253</v>
      </c>
      <c r="D20" s="168" t="s">
        <v>265</v>
      </c>
      <c r="E20" s="168" t="s">
        <v>265</v>
      </c>
      <c r="F20" s="168" t="s">
        <v>265</v>
      </c>
      <c r="G20" s="168" t="s">
        <v>265</v>
      </c>
      <c r="H20" s="169"/>
      <c r="I20" s="169"/>
      <c r="J20" s="168" t="s">
        <v>49</v>
      </c>
      <c r="K20" s="168" t="s">
        <v>265</v>
      </c>
      <c r="L20" s="168" t="s">
        <v>49</v>
      </c>
      <c r="M20" s="168" t="s">
        <v>49</v>
      </c>
      <c r="N20" s="168" t="s">
        <v>265</v>
      </c>
      <c r="O20" s="168" t="s">
        <v>265</v>
      </c>
      <c r="P20" s="168" t="s">
        <v>49</v>
      </c>
      <c r="Q20" s="168" t="s">
        <v>49</v>
      </c>
      <c r="R20" s="168" t="s">
        <v>49</v>
      </c>
      <c r="S20" s="168" t="s">
        <v>49</v>
      </c>
      <c r="T20" s="168" t="s">
        <v>49</v>
      </c>
      <c r="U20" s="168" t="s">
        <v>265</v>
      </c>
      <c r="V20" s="168" t="s">
        <v>49</v>
      </c>
      <c r="W20" s="160">
        <f t="shared" si="0"/>
        <v>4</v>
      </c>
      <c r="X20" s="78">
        <f t="shared" si="1"/>
        <v>5</v>
      </c>
      <c r="Y20" s="78">
        <f t="shared" si="2"/>
        <v>3</v>
      </c>
      <c r="Z20" s="78" t="str">
        <f t="shared" si="3"/>
        <v>Tu año esta en riesgo de perderse</v>
      </c>
      <c r="AA20" s="75">
        <f t="shared" si="4"/>
        <v>8</v>
      </c>
      <c r="AF20" s="110">
        <f t="shared" si="5"/>
        <v>4</v>
      </c>
      <c r="AG20" s="75">
        <v>5</v>
      </c>
    </row>
    <row r="21" spans="1:64" ht="16.5" thickBot="1" x14ac:dyDescent="0.3">
      <c r="A21" s="162">
        <v>18</v>
      </c>
      <c r="B21" s="163"/>
      <c r="C21" s="173" t="s">
        <v>254</v>
      </c>
      <c r="D21" s="168" t="s">
        <v>49</v>
      </c>
      <c r="E21" s="168" t="s">
        <v>49</v>
      </c>
      <c r="F21" s="168" t="s">
        <v>49</v>
      </c>
      <c r="G21" s="168" t="s">
        <v>265</v>
      </c>
      <c r="H21" s="169"/>
      <c r="I21" s="169"/>
      <c r="J21" s="168" t="s">
        <v>49</v>
      </c>
      <c r="K21" s="168" t="s">
        <v>265</v>
      </c>
      <c r="L21" s="168" t="s">
        <v>49</v>
      </c>
      <c r="M21" s="168" t="s">
        <v>49</v>
      </c>
      <c r="N21" s="168" t="s">
        <v>49</v>
      </c>
      <c r="O21" s="168" t="s">
        <v>265</v>
      </c>
      <c r="P21" s="168" t="s">
        <v>49</v>
      </c>
      <c r="Q21" s="168" t="s">
        <v>49</v>
      </c>
      <c r="R21" s="168" t="s">
        <v>49</v>
      </c>
      <c r="S21" s="168" t="s">
        <v>49</v>
      </c>
      <c r="T21" s="168" t="s">
        <v>49</v>
      </c>
      <c r="U21" s="168" t="s">
        <v>49</v>
      </c>
      <c r="V21" s="168" t="s">
        <v>49</v>
      </c>
      <c r="W21" s="160">
        <f t="shared" si="0"/>
        <v>9</v>
      </c>
      <c r="X21" s="78">
        <f t="shared" si="1"/>
        <v>5</v>
      </c>
      <c r="Y21" s="78">
        <f t="shared" si="2"/>
        <v>3</v>
      </c>
      <c r="Z21" s="78" t="str">
        <f t="shared" si="3"/>
        <v>Tu año esta en riesgo de perderse</v>
      </c>
      <c r="AA21" s="75">
        <f t="shared" si="4"/>
        <v>8</v>
      </c>
      <c r="AF21" s="110">
        <f t="shared" si="5"/>
        <v>8</v>
      </c>
      <c r="AG21" s="75">
        <v>6</v>
      </c>
    </row>
    <row r="22" spans="1:64" ht="16.5" thickBot="1" x14ac:dyDescent="0.3">
      <c r="A22" s="162">
        <v>19</v>
      </c>
      <c r="B22" s="163"/>
      <c r="C22" s="173" t="s">
        <v>277</v>
      </c>
      <c r="D22" s="168" t="s">
        <v>265</v>
      </c>
      <c r="E22" s="168" t="s">
        <v>265</v>
      </c>
      <c r="F22" s="168" t="s">
        <v>265</v>
      </c>
      <c r="G22" s="168" t="s">
        <v>265</v>
      </c>
      <c r="H22" s="169"/>
      <c r="I22" s="169"/>
      <c r="J22" s="168" t="s">
        <v>265</v>
      </c>
      <c r="K22" s="168" t="s">
        <v>265</v>
      </c>
      <c r="L22" s="168" t="s">
        <v>265</v>
      </c>
      <c r="M22" s="168" t="s">
        <v>265</v>
      </c>
      <c r="N22" s="168" t="s">
        <v>265</v>
      </c>
      <c r="O22" s="168" t="s">
        <v>265</v>
      </c>
      <c r="P22" s="168" t="s">
        <v>265</v>
      </c>
      <c r="Q22" s="168" t="s">
        <v>265</v>
      </c>
      <c r="R22" s="168" t="s">
        <v>265</v>
      </c>
      <c r="S22" s="168" t="s">
        <v>265</v>
      </c>
      <c r="T22" s="168" t="s">
        <v>265</v>
      </c>
      <c r="U22" s="168" t="s">
        <v>265</v>
      </c>
      <c r="V22" s="168" t="s">
        <v>265</v>
      </c>
      <c r="W22" s="160">
        <f t="shared" si="0"/>
        <v>-5</v>
      </c>
      <c r="X22" s="78">
        <f t="shared" si="1"/>
        <v>5</v>
      </c>
      <c r="Y22" s="78">
        <f t="shared" si="2"/>
        <v>3</v>
      </c>
      <c r="Z22" s="78" t="str">
        <f t="shared" si="3"/>
        <v>Tu año esta en riesgo de perderse</v>
      </c>
      <c r="AA22" s="75">
        <f t="shared" si="4"/>
        <v>8</v>
      </c>
      <c r="AF22" s="110">
        <f t="shared" si="5"/>
        <v>0</v>
      </c>
      <c r="AG22" s="75">
        <v>0</v>
      </c>
    </row>
    <row r="23" spans="1:64" ht="16.5" thickBot="1" x14ac:dyDescent="0.3">
      <c r="A23" s="162">
        <v>20</v>
      </c>
      <c r="B23" s="163"/>
      <c r="C23" s="173" t="s">
        <v>256</v>
      </c>
      <c r="D23" s="168" t="s">
        <v>265</v>
      </c>
      <c r="E23" s="168" t="s">
        <v>265</v>
      </c>
      <c r="F23" s="168" t="s">
        <v>265</v>
      </c>
      <c r="G23" s="168" t="s">
        <v>265</v>
      </c>
      <c r="H23" s="169"/>
      <c r="I23" s="169"/>
      <c r="J23" s="168" t="s">
        <v>265</v>
      </c>
      <c r="K23" s="168" t="s">
        <v>265</v>
      </c>
      <c r="L23" s="168" t="s">
        <v>265</v>
      </c>
      <c r="M23" s="168" t="s">
        <v>265</v>
      </c>
      <c r="N23" s="168" t="s">
        <v>265</v>
      </c>
      <c r="O23" s="168" t="s">
        <v>265</v>
      </c>
      <c r="P23" s="168" t="s">
        <v>265</v>
      </c>
      <c r="Q23" s="168" t="s">
        <v>265</v>
      </c>
      <c r="R23" s="168" t="s">
        <v>265</v>
      </c>
      <c r="S23" s="168" t="s">
        <v>265</v>
      </c>
      <c r="T23" s="168" t="s">
        <v>265</v>
      </c>
      <c r="U23" s="168" t="s">
        <v>265</v>
      </c>
      <c r="V23" s="168" t="s">
        <v>49</v>
      </c>
      <c r="W23" s="160">
        <f t="shared" si="0"/>
        <v>-4</v>
      </c>
      <c r="X23" s="78">
        <f t="shared" si="1"/>
        <v>5</v>
      </c>
      <c r="Y23" s="78">
        <f t="shared" si="2"/>
        <v>3</v>
      </c>
      <c r="Z23" s="78" t="str">
        <f t="shared" si="3"/>
        <v>Tu año esta en riesgo de perderse</v>
      </c>
      <c r="AA23" s="75">
        <f t="shared" si="4"/>
        <v>8</v>
      </c>
      <c r="AF23" s="110">
        <f t="shared" si="5"/>
        <v>0</v>
      </c>
      <c r="AG23" s="75">
        <v>1</v>
      </c>
    </row>
    <row r="24" spans="1:64" ht="16.5" thickBot="1" x14ac:dyDescent="0.3">
      <c r="A24" s="162">
        <v>21</v>
      </c>
      <c r="B24" s="163"/>
      <c r="C24" s="173" t="s">
        <v>257</v>
      </c>
      <c r="D24" s="168" t="s">
        <v>49</v>
      </c>
      <c r="E24" s="168" t="s">
        <v>49</v>
      </c>
      <c r="F24" s="168" t="s">
        <v>265</v>
      </c>
      <c r="G24" s="168" t="s">
        <v>265</v>
      </c>
      <c r="H24" s="169"/>
      <c r="I24" s="169"/>
      <c r="J24" s="168" t="s">
        <v>265</v>
      </c>
      <c r="K24" s="168" t="s">
        <v>265</v>
      </c>
      <c r="L24" s="168" t="s">
        <v>265</v>
      </c>
      <c r="M24" s="168" t="s">
        <v>265</v>
      </c>
      <c r="N24" s="168" t="s">
        <v>265</v>
      </c>
      <c r="O24" s="168" t="s">
        <v>265</v>
      </c>
      <c r="P24" s="168" t="s">
        <v>265</v>
      </c>
      <c r="Q24" s="168" t="s">
        <v>49</v>
      </c>
      <c r="R24" s="168" t="s">
        <v>265</v>
      </c>
      <c r="S24" s="168" t="s">
        <v>49</v>
      </c>
      <c r="T24" s="168" t="s">
        <v>49</v>
      </c>
      <c r="U24" s="168" t="s">
        <v>49</v>
      </c>
      <c r="V24" s="168" t="s">
        <v>265</v>
      </c>
      <c r="W24" s="160">
        <f t="shared" si="0"/>
        <v>1</v>
      </c>
      <c r="X24" s="78">
        <f t="shared" si="1"/>
        <v>5</v>
      </c>
      <c r="Y24" s="78">
        <f t="shared" si="2"/>
        <v>3</v>
      </c>
      <c r="Z24" s="78" t="str">
        <f t="shared" si="3"/>
        <v>Tu año esta en riesgo de perderse</v>
      </c>
      <c r="AA24" s="75">
        <f t="shared" si="4"/>
        <v>8</v>
      </c>
      <c r="AF24" s="110">
        <f t="shared" si="5"/>
        <v>4</v>
      </c>
      <c r="AG24" s="75">
        <v>2</v>
      </c>
    </row>
    <row r="25" spans="1:64" ht="16.5" thickBot="1" x14ac:dyDescent="0.3">
      <c r="A25" s="162">
        <v>22</v>
      </c>
      <c r="B25" s="163"/>
      <c r="C25" s="173" t="s">
        <v>258</v>
      </c>
      <c r="D25" s="168" t="s">
        <v>49</v>
      </c>
      <c r="E25" s="168" t="s">
        <v>49</v>
      </c>
      <c r="F25" s="168" t="s">
        <v>265</v>
      </c>
      <c r="G25" s="168" t="s">
        <v>265</v>
      </c>
      <c r="H25" s="169"/>
      <c r="I25" s="169"/>
      <c r="J25" s="168" t="s">
        <v>265</v>
      </c>
      <c r="K25" s="168" t="s">
        <v>265</v>
      </c>
      <c r="L25" s="168" t="s">
        <v>265</v>
      </c>
      <c r="M25" s="168" t="s">
        <v>265</v>
      </c>
      <c r="N25" s="168" t="s">
        <v>265</v>
      </c>
      <c r="O25" s="168" t="s">
        <v>49</v>
      </c>
      <c r="P25" s="168" t="s">
        <v>265</v>
      </c>
      <c r="Q25" s="168" t="s">
        <v>265</v>
      </c>
      <c r="R25" s="168" t="s">
        <v>265</v>
      </c>
      <c r="S25" s="168" t="s">
        <v>265</v>
      </c>
      <c r="T25" s="168" t="s">
        <v>265</v>
      </c>
      <c r="U25" s="168" t="s">
        <v>265</v>
      </c>
      <c r="V25" s="168" t="s">
        <v>265</v>
      </c>
      <c r="W25" s="160">
        <f t="shared" si="0"/>
        <v>-2</v>
      </c>
      <c r="X25" s="78">
        <f t="shared" si="1"/>
        <v>5</v>
      </c>
      <c r="Y25" s="78">
        <f t="shared" si="2"/>
        <v>3</v>
      </c>
      <c r="Z25" s="78" t="str">
        <f t="shared" si="3"/>
        <v>Tu año esta en riesgo de perderse</v>
      </c>
      <c r="AA25" s="75">
        <f t="shared" si="4"/>
        <v>8</v>
      </c>
      <c r="AF25" s="110">
        <f t="shared" si="5"/>
        <v>2</v>
      </c>
      <c r="AG25" s="75">
        <v>1</v>
      </c>
    </row>
    <row r="26" spans="1:64" ht="16.5" thickBot="1" x14ac:dyDescent="0.3">
      <c r="A26" s="162">
        <v>23</v>
      </c>
      <c r="B26" s="163"/>
      <c r="C26" s="173" t="s">
        <v>278</v>
      </c>
      <c r="D26" s="168" t="s">
        <v>265</v>
      </c>
      <c r="E26" s="168" t="s">
        <v>265</v>
      </c>
      <c r="F26" s="168" t="s">
        <v>265</v>
      </c>
      <c r="G26" s="168" t="s">
        <v>265</v>
      </c>
      <c r="H26" s="169"/>
      <c r="I26" s="169"/>
      <c r="J26" s="168" t="s">
        <v>265</v>
      </c>
      <c r="K26" s="168" t="s">
        <v>265</v>
      </c>
      <c r="L26" s="168" t="s">
        <v>265</v>
      </c>
      <c r="M26" s="168" t="s">
        <v>265</v>
      </c>
      <c r="N26" s="168" t="s">
        <v>265</v>
      </c>
      <c r="O26" s="168" t="s">
        <v>265</v>
      </c>
      <c r="P26" s="168" t="s">
        <v>265</v>
      </c>
      <c r="Q26" s="168" t="s">
        <v>265</v>
      </c>
      <c r="R26" s="168" t="s">
        <v>265</v>
      </c>
      <c r="S26" s="168" t="s">
        <v>265</v>
      </c>
      <c r="T26" s="168" t="s">
        <v>265</v>
      </c>
      <c r="U26" s="168" t="s">
        <v>265</v>
      </c>
      <c r="V26" s="168" t="s">
        <v>265</v>
      </c>
      <c r="W26" s="160">
        <f t="shared" si="0"/>
        <v>-5</v>
      </c>
      <c r="X26" s="78">
        <f t="shared" si="1"/>
        <v>5</v>
      </c>
      <c r="Y26" s="78">
        <f t="shared" si="2"/>
        <v>3</v>
      </c>
      <c r="Z26" s="78" t="str">
        <f t="shared" si="3"/>
        <v>Tu año esta en riesgo de perderse</v>
      </c>
      <c r="AA26" s="75">
        <f t="shared" si="4"/>
        <v>8</v>
      </c>
      <c r="AF26" s="110">
        <f t="shared" si="5"/>
        <v>0</v>
      </c>
      <c r="AG26" s="75">
        <v>0</v>
      </c>
    </row>
    <row r="27" spans="1:64" ht="16.5" thickBot="1" x14ac:dyDescent="0.3">
      <c r="A27" s="162">
        <v>24</v>
      </c>
      <c r="B27" s="163"/>
      <c r="C27" s="173" t="s">
        <v>259</v>
      </c>
      <c r="D27" s="168" t="s">
        <v>265</v>
      </c>
      <c r="E27" s="168" t="s">
        <v>265</v>
      </c>
      <c r="F27" s="168" t="s">
        <v>265</v>
      </c>
      <c r="G27" s="168" t="s">
        <v>265</v>
      </c>
      <c r="H27" s="169"/>
      <c r="I27" s="169"/>
      <c r="J27" s="168" t="s">
        <v>265</v>
      </c>
      <c r="K27" s="168" t="s">
        <v>265</v>
      </c>
      <c r="L27" s="168" t="s">
        <v>265</v>
      </c>
      <c r="M27" s="168" t="s">
        <v>265</v>
      </c>
      <c r="N27" s="168" t="s">
        <v>265</v>
      </c>
      <c r="O27" s="168" t="s">
        <v>265</v>
      </c>
      <c r="P27" s="168" t="s">
        <v>265</v>
      </c>
      <c r="Q27" s="168" t="s">
        <v>265</v>
      </c>
      <c r="R27" s="168" t="s">
        <v>265</v>
      </c>
      <c r="S27" s="168" t="s">
        <v>265</v>
      </c>
      <c r="T27" s="168" t="s">
        <v>265</v>
      </c>
      <c r="U27" s="168" t="s">
        <v>265</v>
      </c>
      <c r="V27" s="168" t="s">
        <v>49</v>
      </c>
      <c r="W27" s="160">
        <f t="shared" si="0"/>
        <v>-4</v>
      </c>
      <c r="X27" s="78">
        <f t="shared" si="1"/>
        <v>5</v>
      </c>
      <c r="Y27" s="78">
        <f t="shared" si="2"/>
        <v>3</v>
      </c>
      <c r="Z27" s="78" t="str">
        <f t="shared" si="3"/>
        <v>Tu año esta en riesgo de perderse</v>
      </c>
      <c r="AA27" s="75">
        <f t="shared" si="4"/>
        <v>8</v>
      </c>
      <c r="AF27" s="110">
        <f t="shared" si="5"/>
        <v>0</v>
      </c>
      <c r="AG27" s="75">
        <v>1</v>
      </c>
    </row>
    <row r="28" spans="1:64" ht="16.5" thickBot="1" x14ac:dyDescent="0.3">
      <c r="A28" s="162">
        <v>25</v>
      </c>
      <c r="B28" s="163"/>
      <c r="C28" s="173" t="s">
        <v>260</v>
      </c>
      <c r="D28" s="168" t="s">
        <v>49</v>
      </c>
      <c r="E28" s="168" t="s">
        <v>49</v>
      </c>
      <c r="F28" s="168" t="s">
        <v>265</v>
      </c>
      <c r="G28" s="168" t="s">
        <v>265</v>
      </c>
      <c r="H28" s="169"/>
      <c r="I28" s="169"/>
      <c r="J28" s="168" t="s">
        <v>49</v>
      </c>
      <c r="K28" s="168" t="s">
        <v>265</v>
      </c>
      <c r="L28" s="168" t="s">
        <v>265</v>
      </c>
      <c r="M28" s="168" t="s">
        <v>265</v>
      </c>
      <c r="N28" s="168" t="s">
        <v>265</v>
      </c>
      <c r="O28" s="168" t="s">
        <v>265</v>
      </c>
      <c r="P28" s="168" t="s">
        <v>49</v>
      </c>
      <c r="Q28" s="168" t="s">
        <v>49</v>
      </c>
      <c r="R28" s="168" t="s">
        <v>49</v>
      </c>
      <c r="S28" s="168" t="s">
        <v>265</v>
      </c>
      <c r="T28" s="168" t="s">
        <v>265</v>
      </c>
      <c r="U28" s="168" t="s">
        <v>49</v>
      </c>
      <c r="V28" s="168" t="s">
        <v>49</v>
      </c>
      <c r="W28" s="160">
        <f t="shared" si="0"/>
        <v>3</v>
      </c>
      <c r="X28" s="78">
        <f t="shared" si="1"/>
        <v>5</v>
      </c>
      <c r="Y28" s="78">
        <f t="shared" si="2"/>
        <v>3</v>
      </c>
      <c r="Z28" s="78" t="str">
        <f t="shared" si="3"/>
        <v>Tu año esta en riesgo de perderse</v>
      </c>
      <c r="AA28" s="75">
        <f t="shared" si="4"/>
        <v>8</v>
      </c>
      <c r="AF28" s="110">
        <f t="shared" si="5"/>
        <v>4</v>
      </c>
      <c r="AG28" s="75">
        <v>4</v>
      </c>
    </row>
    <row r="29" spans="1:64" ht="16.5" thickBot="1" x14ac:dyDescent="0.3">
      <c r="A29" s="162">
        <v>26</v>
      </c>
      <c r="B29" s="164"/>
      <c r="C29" s="173" t="s">
        <v>279</v>
      </c>
      <c r="D29" s="168" t="s">
        <v>265</v>
      </c>
      <c r="E29" s="168" t="s">
        <v>265</v>
      </c>
      <c r="F29" s="168" t="s">
        <v>265</v>
      </c>
      <c r="G29" s="168" t="s">
        <v>265</v>
      </c>
      <c r="H29" s="169"/>
      <c r="I29" s="169"/>
      <c r="J29" s="168" t="s">
        <v>265</v>
      </c>
      <c r="K29" s="168" t="s">
        <v>265</v>
      </c>
      <c r="L29" s="168" t="s">
        <v>265</v>
      </c>
      <c r="M29" s="168" t="s">
        <v>265</v>
      </c>
      <c r="N29" s="168" t="s">
        <v>265</v>
      </c>
      <c r="O29" s="168" t="s">
        <v>265</v>
      </c>
      <c r="P29" s="168" t="s">
        <v>265</v>
      </c>
      <c r="Q29" s="168" t="s">
        <v>265</v>
      </c>
      <c r="R29" s="168" t="s">
        <v>265</v>
      </c>
      <c r="S29" s="168" t="s">
        <v>265</v>
      </c>
      <c r="T29" s="168" t="s">
        <v>265</v>
      </c>
      <c r="U29" s="168" t="s">
        <v>265</v>
      </c>
      <c r="V29" s="168" t="s">
        <v>265</v>
      </c>
      <c r="W29" s="160">
        <f t="shared" si="0"/>
        <v>-5</v>
      </c>
      <c r="X29" s="78">
        <f t="shared" si="1"/>
        <v>5</v>
      </c>
      <c r="Y29" s="78">
        <f t="shared" si="2"/>
        <v>3</v>
      </c>
      <c r="Z29" s="78" t="str">
        <f t="shared" si="3"/>
        <v>Tu año esta en riesgo de perderse</v>
      </c>
      <c r="AA29" s="75">
        <f t="shared" si="4"/>
        <v>8</v>
      </c>
      <c r="AF29" s="110">
        <f t="shared" si="5"/>
        <v>0</v>
      </c>
      <c r="AG29" s="75">
        <v>0</v>
      </c>
    </row>
    <row r="30" spans="1:64" x14ac:dyDescent="0.25">
      <c r="A30" s="162">
        <v>27</v>
      </c>
      <c r="B30" s="165"/>
      <c r="C30" s="173" t="s">
        <v>280</v>
      </c>
      <c r="D30" s="168" t="s">
        <v>265</v>
      </c>
      <c r="E30" s="168" t="s">
        <v>265</v>
      </c>
      <c r="F30" s="168" t="s">
        <v>265</v>
      </c>
      <c r="G30" s="168" t="s">
        <v>265</v>
      </c>
      <c r="H30" s="170"/>
      <c r="I30" s="170"/>
      <c r="J30" s="168" t="s">
        <v>265</v>
      </c>
      <c r="K30" s="168" t="s">
        <v>265</v>
      </c>
      <c r="L30" s="168" t="s">
        <v>265</v>
      </c>
      <c r="M30" s="168" t="s">
        <v>265</v>
      </c>
      <c r="N30" s="168" t="s">
        <v>265</v>
      </c>
      <c r="O30" s="168" t="s">
        <v>265</v>
      </c>
      <c r="P30" s="168" t="s">
        <v>265</v>
      </c>
      <c r="Q30" s="168" t="s">
        <v>265</v>
      </c>
      <c r="R30" s="168" t="s">
        <v>265</v>
      </c>
      <c r="S30" s="168" t="s">
        <v>265</v>
      </c>
      <c r="T30" s="168" t="s">
        <v>265</v>
      </c>
      <c r="U30" s="168" t="s">
        <v>265</v>
      </c>
      <c r="V30" s="168" t="s">
        <v>265</v>
      </c>
      <c r="AF30" s="110">
        <f t="shared" si="5"/>
        <v>0</v>
      </c>
      <c r="AG30" s="75">
        <v>0</v>
      </c>
    </row>
    <row r="31" spans="1:64" x14ac:dyDescent="0.25">
      <c r="A31" s="162">
        <v>28</v>
      </c>
      <c r="B31" s="165"/>
      <c r="C31" s="173" t="s">
        <v>281</v>
      </c>
      <c r="D31" s="168" t="s">
        <v>265</v>
      </c>
      <c r="E31" s="168" t="s">
        <v>265</v>
      </c>
      <c r="F31" s="168" t="s">
        <v>265</v>
      </c>
      <c r="G31" s="168" t="s">
        <v>265</v>
      </c>
      <c r="H31" s="170"/>
      <c r="I31" s="170"/>
      <c r="J31" s="168" t="s">
        <v>265</v>
      </c>
      <c r="K31" s="168" t="s">
        <v>265</v>
      </c>
      <c r="L31" s="168" t="s">
        <v>265</v>
      </c>
      <c r="M31" s="168" t="s">
        <v>265</v>
      </c>
      <c r="N31" s="168" t="s">
        <v>265</v>
      </c>
      <c r="O31" s="168" t="s">
        <v>265</v>
      </c>
      <c r="P31" s="168" t="s">
        <v>265</v>
      </c>
      <c r="Q31" s="168" t="s">
        <v>265</v>
      </c>
      <c r="R31" s="168" t="s">
        <v>265</v>
      </c>
      <c r="S31" s="168" t="s">
        <v>265</v>
      </c>
      <c r="T31" s="168" t="s">
        <v>265</v>
      </c>
      <c r="U31" s="168" t="s">
        <v>265</v>
      </c>
      <c r="V31" s="168" t="s">
        <v>265</v>
      </c>
      <c r="AF31" s="110">
        <f t="shared" si="5"/>
        <v>0</v>
      </c>
      <c r="AG31" s="75">
        <v>0</v>
      </c>
    </row>
    <row r="32" spans="1:64" ht="15.75" thickBot="1" x14ac:dyDescent="0.3">
      <c r="A32" s="166">
        <v>29</v>
      </c>
      <c r="B32" s="167"/>
      <c r="C32" s="174" t="s">
        <v>264</v>
      </c>
      <c r="D32" s="171" t="s">
        <v>265</v>
      </c>
      <c r="E32" s="171" t="s">
        <v>265</v>
      </c>
      <c r="F32" s="171" t="s">
        <v>265</v>
      </c>
      <c r="G32" s="171" t="s">
        <v>265</v>
      </c>
      <c r="H32" s="172"/>
      <c r="I32" s="172"/>
      <c r="J32" s="171" t="s">
        <v>49</v>
      </c>
      <c r="K32" s="171" t="s">
        <v>265</v>
      </c>
      <c r="L32" s="171" t="s">
        <v>265</v>
      </c>
      <c r="M32" s="171" t="s">
        <v>265</v>
      </c>
      <c r="N32" s="171" t="s">
        <v>265</v>
      </c>
      <c r="O32" s="171" t="s">
        <v>49</v>
      </c>
      <c r="P32" s="171" t="s">
        <v>265</v>
      </c>
      <c r="Q32" s="171" t="s">
        <v>265</v>
      </c>
      <c r="R32" s="171" t="s">
        <v>265</v>
      </c>
      <c r="S32" s="171" t="s">
        <v>265</v>
      </c>
      <c r="T32" s="171" t="s">
        <v>265</v>
      </c>
      <c r="U32" s="171" t="s">
        <v>265</v>
      </c>
      <c r="V32" s="171" t="s">
        <v>265</v>
      </c>
      <c r="AF32" s="110">
        <f t="shared" si="5"/>
        <v>1</v>
      </c>
      <c r="AG32" s="75">
        <v>1</v>
      </c>
    </row>
    <row r="33" spans="1:30" x14ac:dyDescent="0.25">
      <c r="A33" s="159"/>
      <c r="D33">
        <f t="shared" ref="D33:V33" si="7">COUNTIF(D4:D29,"X")</f>
        <v>6</v>
      </c>
      <c r="E33">
        <f t="shared" si="7"/>
        <v>8</v>
      </c>
      <c r="F33">
        <f t="shared" si="7"/>
        <v>2</v>
      </c>
      <c r="G33">
        <f t="shared" si="7"/>
        <v>0</v>
      </c>
      <c r="H33">
        <f t="shared" si="7"/>
        <v>0</v>
      </c>
      <c r="I33">
        <f t="shared" si="7"/>
        <v>0</v>
      </c>
      <c r="J33">
        <f t="shared" si="7"/>
        <v>13</v>
      </c>
      <c r="K33">
        <f t="shared" si="7"/>
        <v>2</v>
      </c>
      <c r="L33">
        <f t="shared" si="7"/>
        <v>9</v>
      </c>
      <c r="M33">
        <f t="shared" si="7"/>
        <v>11</v>
      </c>
      <c r="N33">
        <f t="shared" si="7"/>
        <v>5</v>
      </c>
      <c r="O33">
        <f t="shared" si="7"/>
        <v>5</v>
      </c>
      <c r="P33">
        <f t="shared" si="7"/>
        <v>5</v>
      </c>
      <c r="Q33">
        <f t="shared" si="7"/>
        <v>10</v>
      </c>
      <c r="R33">
        <f t="shared" si="7"/>
        <v>5</v>
      </c>
      <c r="S33">
        <f t="shared" si="7"/>
        <v>9</v>
      </c>
      <c r="T33">
        <f t="shared" si="7"/>
        <v>9</v>
      </c>
      <c r="U33">
        <f t="shared" si="7"/>
        <v>9</v>
      </c>
      <c r="V33">
        <f t="shared" si="7"/>
        <v>11</v>
      </c>
    </row>
    <row r="34" spans="1:30" x14ac:dyDescent="0.25">
      <c r="A34" s="64"/>
    </row>
    <row r="35" spans="1:30" x14ac:dyDescent="0.25">
      <c r="A35" s="64"/>
    </row>
    <row r="36" spans="1:30" x14ac:dyDescent="0.25">
      <c r="A36" s="64"/>
    </row>
    <row r="37" spans="1:30" x14ac:dyDescent="0.25">
      <c r="A37" s="64"/>
    </row>
    <row r="38" spans="1:30" x14ac:dyDescent="0.25">
      <c r="A38" s="64"/>
    </row>
    <row r="39" spans="1:30" x14ac:dyDescent="0.25">
      <c r="A39" s="64"/>
    </row>
    <row r="40" spans="1:30" x14ac:dyDescent="0.25">
      <c r="A40" s="64"/>
    </row>
    <row r="41" spans="1:30" x14ac:dyDescent="0.25">
      <c r="A41" s="64"/>
    </row>
    <row r="42" spans="1:30" x14ac:dyDescent="0.25">
      <c r="A42" s="64"/>
      <c r="AA42" s="95" t="s">
        <v>172</v>
      </c>
      <c r="AB42" s="95"/>
      <c r="AC42" s="95" t="s">
        <v>173</v>
      </c>
      <c r="AD42" s="95" t="s">
        <v>47</v>
      </c>
    </row>
    <row r="43" spans="1:30" x14ac:dyDescent="0.25">
      <c r="A43" s="64"/>
      <c r="AA43" s="37" t="s">
        <v>177</v>
      </c>
      <c r="AB43" s="37"/>
      <c r="AC43" s="79">
        <f>COUNTIF(Z4:Z29,"Felicitaciones por el buen rendimiento Académico")+1</f>
        <v>1</v>
      </c>
      <c r="AD43" s="80">
        <f>AC43/$AC$46</f>
        <v>2.7027027027027029E-2</v>
      </c>
    </row>
    <row r="44" spans="1:30" x14ac:dyDescent="0.25">
      <c r="A44" s="64"/>
      <c r="AA44" s="37" t="s">
        <v>171</v>
      </c>
      <c r="AB44" s="37"/>
      <c r="AC44" s="79">
        <f>COUNTIF($Z$4:$Z$29,"Pasas con logros Pendientes")</f>
        <v>0</v>
      </c>
      <c r="AD44" s="80">
        <f>AC44/$AC$46</f>
        <v>0</v>
      </c>
    </row>
    <row r="45" spans="1:30" x14ac:dyDescent="0.25">
      <c r="A45" s="64"/>
      <c r="AA45" s="95" t="s">
        <v>174</v>
      </c>
      <c r="AB45" s="95"/>
      <c r="AC45" s="79">
        <f>COUNTIF($Z$4:$Z$29,"Tu año esta en riesgo de perderse")</f>
        <v>26</v>
      </c>
      <c r="AD45" s="80">
        <f>AC45/$AC$46</f>
        <v>0.70270270270270274</v>
      </c>
    </row>
    <row r="46" spans="1:30" ht="20.25" x14ac:dyDescent="0.3">
      <c r="A46" s="38"/>
      <c r="AA46" s="96" t="s">
        <v>175</v>
      </c>
      <c r="AB46" s="96"/>
      <c r="AC46" s="96">
        <v>37</v>
      </c>
      <c r="AD46" s="97">
        <v>1</v>
      </c>
    </row>
    <row r="47" spans="1:30" ht="15.75" thickBot="1" x14ac:dyDescent="0.3">
      <c r="A47" s="39"/>
    </row>
  </sheetData>
  <sheetProtection algorithmName="SHA-512" hashValue="ISEO1pfBFB2MBeUS+8SMTanEizPrHTPEVYn0ZSHv3PabLsCPfxuFPiYL4f8B91fd2XJFfbJheWXxVmQTf7/jqQ==" saltValue="Y/Yt3Jv9NZine6gA+Js2fA==" spinCount="100000" sheet="1" objects="1" scenarios="1"/>
  <autoFilter ref="AF3:AG32" xr:uid="{00000000-0001-0000-0100-000000000000}"/>
  <mergeCells count="3">
    <mergeCell ref="A1:B1"/>
    <mergeCell ref="E1:V1"/>
    <mergeCell ref="W1:W3"/>
  </mergeCells>
  <conditionalFormatting sqref="B4:B28">
    <cfRule type="cellIs" dxfId="17" priority="34" operator="equal">
      <formula>"X"</formula>
    </cfRule>
  </conditionalFormatting>
  <conditionalFormatting sqref="D4:G32">
    <cfRule type="cellIs" dxfId="16" priority="16" operator="equal">
      <formula>"bj"</formula>
    </cfRule>
  </conditionalFormatting>
  <conditionalFormatting sqref="J4:V32">
    <cfRule type="cellIs" dxfId="15" priority="1" operator="equal">
      <formula>"bj"</formula>
    </cfRule>
  </conditionalFormatting>
  <conditionalFormatting sqref="W16:W17">
    <cfRule type="cellIs" dxfId="14" priority="68" operator="equal">
      <formula>$J$5</formula>
    </cfRule>
  </conditionalFormatting>
  <conditionalFormatting sqref="Z4:Z29">
    <cfRule type="cellIs" dxfId="13" priority="44" stopIfTrue="1" operator="equal">
      <formula>"Felicitaciones por el buen rendimiento Académico"</formula>
    </cfRule>
    <cfRule type="notContainsText" dxfId="12" priority="45" stopIfTrue="1" operator="notContains" text="Felicitaciones…pasas a noveno">
      <formula>ISERROR(SEARCH("Felicitaciones…pasas a noveno",Z4))</formula>
    </cfRule>
    <cfRule type="containsText" dxfId="11" priority="46" stopIfTrue="1" operator="containsText" text="Tu año esta en riesgo de perderse">
      <formula>NOT(ISERROR(SEARCH("Tu año esta en riesgo de perderse",Z4)))</formula>
    </cfRule>
    <cfRule type="containsText" dxfId="10" priority="47" stopIfTrue="1" operator="containsText" text="Felicitaciones…pasas a noveno">
      <formula>NOT(ISERROR(SEARCH("Felicitaciones…pasas a noveno",Z4)))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8"/>
  <sheetViews>
    <sheetView showGridLines="0" tabSelected="1" zoomScale="91" zoomScaleNormal="91" workbookViewId="0">
      <selection activeCell="D10" sqref="D10"/>
    </sheetView>
  </sheetViews>
  <sheetFormatPr baseColWidth="10" defaultRowHeight="15" x14ac:dyDescent="0.25"/>
  <cols>
    <col min="1" max="1" width="2.85546875" customWidth="1"/>
    <col min="2" max="2" width="15.140625" customWidth="1"/>
    <col min="3" max="3" width="33" customWidth="1"/>
    <col min="4" max="4" width="20.28515625" customWidth="1"/>
    <col min="5" max="5" width="4.5703125" customWidth="1"/>
    <col min="6" max="6" width="4" customWidth="1"/>
    <col min="7" max="7" width="82.85546875" customWidth="1"/>
    <col min="8" max="8" width="3.5703125" customWidth="1"/>
  </cols>
  <sheetData>
    <row r="1" spans="2:12" ht="6" customHeight="1" thickBot="1" x14ac:dyDescent="0.3"/>
    <row r="2" spans="2:12" ht="18.75" x14ac:dyDescent="0.3">
      <c r="B2" s="26"/>
      <c r="C2" s="63" t="s">
        <v>186</v>
      </c>
      <c r="D2" s="27"/>
    </row>
    <row r="3" spans="2:12" ht="18.75" x14ac:dyDescent="0.3">
      <c r="B3" s="188" t="s">
        <v>52</v>
      </c>
      <c r="C3" s="189"/>
      <c r="D3" s="190"/>
    </row>
    <row r="4" spans="2:12" ht="18.75" thickBot="1" x14ac:dyDescent="0.3">
      <c r="B4" s="191" t="s">
        <v>271</v>
      </c>
      <c r="C4" s="192"/>
      <c r="D4" s="193"/>
      <c r="L4" s="57"/>
    </row>
    <row r="5" spans="2:12" ht="15.75" thickBot="1" x14ac:dyDescent="0.3">
      <c r="B5" s="28" t="s">
        <v>53</v>
      </c>
      <c r="C5" s="36"/>
      <c r="D5" s="29"/>
    </row>
    <row r="6" spans="2:12" x14ac:dyDescent="0.25">
      <c r="B6" s="30" t="s">
        <v>51</v>
      </c>
      <c r="C6" s="186" t="str">
        <f>IF(ISBLANK(C5),"",IF(ISERROR(VLOOKUP(C5,BDNOTAS,3,FALSE)),"No existe",VLOOKUP(C5,BDNOTAS,3,FALSE)))</f>
        <v/>
      </c>
      <c r="D6" s="187"/>
    </row>
    <row r="7" spans="2:12" ht="15.75" thickBot="1" x14ac:dyDescent="0.3">
      <c r="B7" s="31"/>
      <c r="C7" s="32"/>
      <c r="D7" s="33"/>
    </row>
    <row r="8" spans="2:12" ht="19.5" thickBot="1" x14ac:dyDescent="0.35">
      <c r="B8" s="194" t="s">
        <v>50</v>
      </c>
      <c r="C8" s="195"/>
      <c r="D8" s="89" t="s">
        <v>184</v>
      </c>
    </row>
    <row r="9" spans="2:12" ht="15.75" customHeight="1" thickBot="1" x14ac:dyDescent="0.3">
      <c r="B9" s="196" t="s">
        <v>127</v>
      </c>
      <c r="C9" s="197"/>
      <c r="D9" s="58" t="str">
        <f>IF(ISERROR(VLOOKUP($C$5,BDNOTAS,4,FALSE)),"",VLOOKUP($C$5,BDNOTAS,4,FALSE))</f>
        <v/>
      </c>
    </row>
    <row r="10" spans="2:12" ht="15.75" customHeight="1" thickBot="1" x14ac:dyDescent="0.3">
      <c r="B10" s="202" t="s">
        <v>3</v>
      </c>
      <c r="C10" s="203"/>
      <c r="D10" s="59" t="str">
        <f>IF(ISERROR(VLOOKUP($C$5,BDNOTAS,5,FALSE)),"",VLOOKUP($C$5,BDNOTAS,5,FALSE))</f>
        <v/>
      </c>
    </row>
    <row r="11" spans="2:12" ht="15" customHeight="1" thickBot="1" x14ac:dyDescent="0.35">
      <c r="B11" s="204" t="s">
        <v>4</v>
      </c>
      <c r="C11" s="205"/>
      <c r="D11" s="59" t="str">
        <f>IF(ISERROR(VLOOKUP($C$5,BDNOTAS,6,FALSE)),"",VLOOKUP($C$5,BDNOTAS,6,FALSE))</f>
        <v/>
      </c>
      <c r="G11" s="112" t="str">
        <f>IF(ISBLANK(C5),"",IF(D28&gt;0,"Entregar Actividades Pendientes","Felicitaciones, Sigue manteniendo tu buen rendimiento Académico"))</f>
        <v/>
      </c>
    </row>
    <row r="12" spans="2:12" ht="21.75" customHeight="1" thickBot="1" x14ac:dyDescent="0.3">
      <c r="B12" s="196" t="s">
        <v>5</v>
      </c>
      <c r="C12" s="197"/>
      <c r="D12" s="58" t="str">
        <f>IF(ISERROR(VLOOKUP($C$5,BDNOTAS,7,FALSE)),"",VLOOKUP($C$5,BDNOTAS,7,FALSE))</f>
        <v/>
      </c>
    </row>
    <row r="13" spans="2:12" ht="21.75" customHeight="1" thickBot="1" x14ac:dyDescent="0.3">
      <c r="B13" s="206" t="s">
        <v>167</v>
      </c>
      <c r="C13" s="207"/>
      <c r="D13" s="72" t="str">
        <f>IF(ISERROR(VLOOKUP($C$5,BDNOTAS,8,FALSE)),"",VLOOKUP($C$5,BDNOTAS,8,FALSE))</f>
        <v/>
      </c>
    </row>
    <row r="14" spans="2:12" ht="15.75" customHeight="1" thickBot="1" x14ac:dyDescent="0.3">
      <c r="B14" s="206" t="s">
        <v>166</v>
      </c>
      <c r="C14" s="207"/>
      <c r="D14" s="72" t="str">
        <f>IF(ISERROR(VLOOKUP($C$5,BDNOTAS,9,FALSE)),"",VLOOKUP($C$5,BDNOTAS,9,FALSE))</f>
        <v/>
      </c>
    </row>
    <row r="15" spans="2:12" ht="16.5" customHeight="1" thickBot="1" x14ac:dyDescent="0.3">
      <c r="B15" s="210" t="s">
        <v>6</v>
      </c>
      <c r="C15" s="211"/>
      <c r="D15" s="58" t="str">
        <f>IF(ISERROR(VLOOKUP($C$5,BDNOTAS,10,FALSE)),"",VLOOKUP($C$5,BDNOTAS,10,FALSE))</f>
        <v/>
      </c>
    </row>
    <row r="16" spans="2:12" ht="15.75" customHeight="1" thickBot="1" x14ac:dyDescent="0.3">
      <c r="B16" s="210" t="s">
        <v>8</v>
      </c>
      <c r="C16" s="211"/>
      <c r="D16" s="58" t="str">
        <f>IF(ISERROR(VLOOKUP($C$5,BDNOTAS,11,FALSE)),"",VLOOKUP($C$5,BDNOTAS,11,FALSE))</f>
        <v/>
      </c>
    </row>
    <row r="17" spans="2:4" ht="15.75" customHeight="1" thickBot="1" x14ac:dyDescent="0.3">
      <c r="B17" s="208" t="s">
        <v>129</v>
      </c>
      <c r="C17" s="209"/>
      <c r="D17" s="58" t="str">
        <f>IF(ISERROR(VLOOKUP($C$5,BDNOTAS,12,FALSE)),"",VLOOKUP($C$5,BDNOTAS,12,FALSE))</f>
        <v/>
      </c>
    </row>
    <row r="18" spans="2:4" ht="15.75" customHeight="1" thickBot="1" x14ac:dyDescent="0.3">
      <c r="B18" s="200" t="s">
        <v>10</v>
      </c>
      <c r="C18" s="201"/>
      <c r="D18" s="60" t="str">
        <f>IF(ISERROR(VLOOKUP($C$5,BDNOTAS,13,FALSE)),"",VLOOKUP($C$5,BDNOTAS,13,FALSE))</f>
        <v/>
      </c>
    </row>
    <row r="19" spans="2:4" ht="15.75" customHeight="1" thickBot="1" x14ac:dyDescent="0.3">
      <c r="B19" s="200" t="s">
        <v>11</v>
      </c>
      <c r="C19" s="201"/>
      <c r="D19" s="60" t="str">
        <f>IF(ISERROR(VLOOKUP($C$5,BDNOTAS,14,FALSE)),"",VLOOKUP($C$5,BDNOTAS,14,FALSE))</f>
        <v/>
      </c>
    </row>
    <row r="20" spans="2:4" ht="15.75" thickBot="1" x14ac:dyDescent="0.3">
      <c r="B20" s="200" t="s">
        <v>12</v>
      </c>
      <c r="C20" s="201"/>
      <c r="D20" s="60" t="str">
        <f>IF(ISERROR(VLOOKUP($C$5,BDNOTAS,15,FALSE)),"",VLOOKUP($C$5,BDNOTAS,15,FALSE))</f>
        <v/>
      </c>
    </row>
    <row r="21" spans="2:4" ht="15.75" customHeight="1" thickBot="1" x14ac:dyDescent="0.3">
      <c r="B21" s="208" t="s">
        <v>131</v>
      </c>
      <c r="C21" s="209"/>
      <c r="D21" s="58" t="str">
        <f>IF(ISERROR(VLOOKUP($C$5,BDNOTAS,16,FALSE)),"",VLOOKUP($C$5,BDNOTAS,16,FALSE))</f>
        <v/>
      </c>
    </row>
    <row r="22" spans="2:4" ht="15.75" thickBot="1" x14ac:dyDescent="0.3">
      <c r="B22" s="184" t="s">
        <v>13</v>
      </c>
      <c r="C22" s="185"/>
      <c r="D22" s="61" t="str">
        <f>IF(ISERROR(VLOOKUP($C$5,BDNOTAS,17,FALSE)),"",VLOOKUP($C$5,BDNOTAS,17,FALSE))</f>
        <v/>
      </c>
    </row>
    <row r="23" spans="2:4" ht="15.75" thickBot="1" x14ac:dyDescent="0.3">
      <c r="B23" s="184" t="s">
        <v>132</v>
      </c>
      <c r="C23" s="185"/>
      <c r="D23" s="61" t="str">
        <f>IF(ISERROR(VLOOKUP($C$5,BDNOTAS,18,FALSE)),"",VLOOKUP($C$5,BDNOTAS,18,FALSE))</f>
        <v/>
      </c>
    </row>
    <row r="24" spans="2:4" ht="15.75" customHeight="1" thickBot="1" x14ac:dyDescent="0.3">
      <c r="B24" s="208" t="s">
        <v>130</v>
      </c>
      <c r="C24" s="209"/>
      <c r="D24" s="58" t="str">
        <f>IF(ISERROR(VLOOKUP($C$5,BDNOTAS,19,FALSE)),"",VLOOKUP($C$5,BDNOTAS,19,FALSE))</f>
        <v/>
      </c>
    </row>
    <row r="25" spans="2:4" ht="15.75" thickBot="1" x14ac:dyDescent="0.3">
      <c r="B25" s="212" t="s">
        <v>15</v>
      </c>
      <c r="C25" s="213"/>
      <c r="D25" s="62" t="str">
        <f>IF(ISERROR(VLOOKUP($C$5,BDNOTAS,20,FALSE)),"",VLOOKUP($C$5,BDNOTAS,20,FALSE))</f>
        <v/>
      </c>
    </row>
    <row r="26" spans="2:4" ht="15.75" thickBot="1" x14ac:dyDescent="0.3">
      <c r="B26" s="214" t="s">
        <v>16</v>
      </c>
      <c r="C26" s="215"/>
      <c r="D26" s="62" t="str">
        <f>IF(ISERROR(VLOOKUP($C$5,BDNOTAS,21,FALSE)),"",VLOOKUP($C$5,BDNOTAS,21,FALSE))</f>
        <v/>
      </c>
    </row>
    <row r="27" spans="2:4" ht="15.75" thickBot="1" x14ac:dyDescent="0.3">
      <c r="B27" s="198" t="s">
        <v>135</v>
      </c>
      <c r="C27" s="199"/>
      <c r="D27" s="58" t="str">
        <f>IF(ISERROR(VLOOKUP($C$5,BDNOTAS,22,FALSE)),"",VLOOKUP($C$5,BDNOTAS,22,FALSE))</f>
        <v/>
      </c>
    </row>
    <row r="28" spans="2:4" ht="19.5" thickBot="1" x14ac:dyDescent="0.35">
      <c r="B28" s="90" t="s">
        <v>54</v>
      </c>
      <c r="C28" s="91"/>
      <c r="D28" s="111">
        <f>COUNTIF(D10:D27,"x")</f>
        <v>0</v>
      </c>
    </row>
  </sheetData>
  <sheetProtection algorithmName="SHA-512" hashValue="Fvnmuww1OsOR9gX5vFnon+SmXodXGZ0Qg9s1GoKXtt1GahwCEucusf9A4RA0L2N6j+iZVSPn5fT0CX1TYM+ILA==" saltValue="UOfewspEI1zv+cw1sU0S5A==" spinCount="100000" sheet="1" objects="1" scenarios="1"/>
  <mergeCells count="23">
    <mergeCell ref="B27:C27"/>
    <mergeCell ref="B18:C18"/>
    <mergeCell ref="B10:C10"/>
    <mergeCell ref="B11:C11"/>
    <mergeCell ref="B12:C12"/>
    <mergeCell ref="B14:C14"/>
    <mergeCell ref="B17:C17"/>
    <mergeCell ref="B15:C15"/>
    <mergeCell ref="B16:C16"/>
    <mergeCell ref="B13:C13"/>
    <mergeCell ref="B24:C24"/>
    <mergeCell ref="B25:C25"/>
    <mergeCell ref="B26:C26"/>
    <mergeCell ref="B19:C19"/>
    <mergeCell ref="B20:C20"/>
    <mergeCell ref="B21:C21"/>
    <mergeCell ref="B22:C22"/>
    <mergeCell ref="B23:C23"/>
    <mergeCell ref="C6:D6"/>
    <mergeCell ref="B3:D3"/>
    <mergeCell ref="B4:D4"/>
    <mergeCell ref="B8:C8"/>
    <mergeCell ref="B9:C9"/>
  </mergeCells>
  <conditionalFormatting sqref="G11">
    <cfRule type="cellIs" dxfId="9" priority="1" operator="equal">
      <formula>"Felicitaciones, Sigue manteniendo tu buen rendimiento Académico"</formula>
    </cfRule>
    <cfRule type="cellIs" dxfId="8" priority="2" operator="equal">
      <formula>"Entregar Actividades Pendientes"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6"/>
  <sheetViews>
    <sheetView workbookViewId="0">
      <selection activeCell="C4" sqref="C4"/>
    </sheetView>
  </sheetViews>
  <sheetFormatPr baseColWidth="10" defaultRowHeight="15" x14ac:dyDescent="0.25"/>
  <cols>
    <col min="2" max="2" width="25.28515625" bestFit="1" customWidth="1"/>
  </cols>
  <sheetData>
    <row r="1" spans="2:4" x14ac:dyDescent="0.25">
      <c r="B1" s="88" t="s">
        <v>183</v>
      </c>
      <c r="C1" s="88" t="s">
        <v>182</v>
      </c>
      <c r="D1" s="88" t="s">
        <v>47</v>
      </c>
    </row>
    <row r="2" spans="2:4" x14ac:dyDescent="0.25">
      <c r="B2" s="86" t="s">
        <v>178</v>
      </c>
      <c r="C2" s="86">
        <f>COUNTIF('informe Final 2 periodo'!$AF$4:$AF$29,"4")</f>
        <v>5</v>
      </c>
      <c r="D2" s="87">
        <f>C2/$C$6</f>
        <v>0.45454545454545453</v>
      </c>
    </row>
    <row r="3" spans="2:4" x14ac:dyDescent="0.25">
      <c r="B3" s="86" t="s">
        <v>179</v>
      </c>
      <c r="C3" s="86">
        <f>COUNTIF('informe Final 2 periodo'!$AF$4:$AF$29,"3")</f>
        <v>3</v>
      </c>
      <c r="D3" s="87">
        <f t="shared" ref="D3:D5" si="0">C3/$C$6</f>
        <v>0.27272727272727271</v>
      </c>
    </row>
    <row r="4" spans="2:4" x14ac:dyDescent="0.25">
      <c r="B4" s="86" t="s">
        <v>180</v>
      </c>
      <c r="C4" s="86">
        <f>COUNTIF('informe Final 2 periodo'!$AF$4:$AF$29,"2")</f>
        <v>2</v>
      </c>
      <c r="D4" s="87">
        <f t="shared" si="0"/>
        <v>0.18181818181818182</v>
      </c>
    </row>
    <row r="5" spans="2:4" x14ac:dyDescent="0.25">
      <c r="B5" s="86" t="s">
        <v>181</v>
      </c>
      <c r="C5" s="86">
        <f>COUNTIF('informe Final 2 periodo'!$AF$4:$AF$29,"1")</f>
        <v>1</v>
      </c>
      <c r="D5" s="87">
        <f t="shared" si="0"/>
        <v>9.0909090909090912E-2</v>
      </c>
    </row>
    <row r="6" spans="2:4" x14ac:dyDescent="0.25">
      <c r="C6">
        <f>SUM(C2:C5)</f>
        <v>11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E2E7-33D9-4F1C-B981-BDD851AED67C}">
  <dimension ref="A1"/>
  <sheetViews>
    <sheetView workbookViewId="0">
      <selection activeCell="B6" sqref="B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topLeftCell="A2" zoomScale="83" zoomScaleNormal="83" workbookViewId="0">
      <pane xSplit="3" ySplit="3" topLeftCell="D5" activePane="bottomRight" state="frozenSplit"/>
      <selection activeCell="C46" sqref="C46"/>
      <selection pane="topRight" activeCell="C46" sqref="C46"/>
      <selection pane="bottomLeft" activeCell="C46" sqref="C46"/>
      <selection pane="bottomRight" activeCell="P5" sqref="P5:R16"/>
    </sheetView>
  </sheetViews>
  <sheetFormatPr baseColWidth="10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bestFit="1" customWidth="1"/>
    <col min="6" max="7" width="8.85546875" bestFit="1" customWidth="1"/>
    <col min="8" max="8" width="9.28515625" bestFit="1" customWidth="1"/>
    <col min="9" max="9" width="8.28515625" bestFit="1" customWidth="1"/>
    <col min="10" max="10" width="8.28515625" customWidth="1"/>
    <col min="11" max="11" width="6.28515625" customWidth="1"/>
    <col min="12" max="12" width="6.7109375" bestFit="1" customWidth="1"/>
    <col min="13" max="13" width="3.42578125" bestFit="1" customWidth="1"/>
    <col min="17" max="17" width="18.5703125" bestFit="1" customWidth="1"/>
  </cols>
  <sheetData>
    <row r="1" spans="1:18" x14ac:dyDescent="0.25">
      <c r="A1" s="176" t="s">
        <v>17</v>
      </c>
      <c r="B1" s="177"/>
      <c r="C1" s="7" t="s">
        <v>21</v>
      </c>
      <c r="D1" s="7"/>
      <c r="E1" s="178"/>
      <c r="F1" s="178"/>
      <c r="G1" s="178"/>
      <c r="H1" s="178"/>
      <c r="I1" s="178"/>
      <c r="J1" s="178"/>
      <c r="K1" s="178"/>
      <c r="L1" s="178"/>
      <c r="M1" s="180" t="s">
        <v>20</v>
      </c>
    </row>
    <row r="2" spans="1:18" ht="15.75" thickBot="1" x14ac:dyDescent="0.3">
      <c r="A2" s="219" t="s">
        <v>18</v>
      </c>
      <c r="B2" s="220"/>
      <c r="C2" s="1" t="s">
        <v>19</v>
      </c>
      <c r="D2" s="1"/>
      <c r="E2" s="216"/>
      <c r="F2" s="216"/>
      <c r="G2" s="216"/>
      <c r="H2" s="216"/>
      <c r="I2" s="216"/>
      <c r="J2" s="216"/>
      <c r="K2" s="216"/>
      <c r="L2" s="216"/>
      <c r="M2" s="217"/>
    </row>
    <row r="3" spans="1:18" ht="94.5" customHeight="1" x14ac:dyDescent="0.25">
      <c r="A3" s="221" t="s">
        <v>0</v>
      </c>
      <c r="B3" s="223" t="s">
        <v>1</v>
      </c>
      <c r="C3" s="54" t="s">
        <v>2</v>
      </c>
      <c r="D3" s="53" t="s">
        <v>127</v>
      </c>
      <c r="E3" s="53" t="s">
        <v>5</v>
      </c>
      <c r="F3" s="53" t="s">
        <v>6</v>
      </c>
      <c r="G3" s="53" t="s">
        <v>7</v>
      </c>
      <c r="H3" s="53" t="s">
        <v>8</v>
      </c>
      <c r="I3" s="53" t="s">
        <v>9</v>
      </c>
      <c r="J3" s="53" t="s">
        <v>126</v>
      </c>
      <c r="K3" s="53" t="s">
        <v>128</v>
      </c>
      <c r="L3" s="53" t="s">
        <v>125</v>
      </c>
      <c r="M3" s="217"/>
    </row>
    <row r="4" spans="1:18" ht="15.75" thickBot="1" x14ac:dyDescent="0.3">
      <c r="A4" s="222"/>
      <c r="B4" s="224"/>
      <c r="C4" s="40"/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/>
      <c r="L4" s="3">
        <v>1</v>
      </c>
      <c r="M4" s="218"/>
    </row>
    <row r="5" spans="1:18" ht="24" customHeight="1" thickBot="1" x14ac:dyDescent="0.3">
      <c r="A5" s="41">
        <v>1</v>
      </c>
      <c r="B5" s="42" t="s">
        <v>55</v>
      </c>
      <c r="C5" s="43" t="s">
        <v>56</v>
      </c>
      <c r="D5" s="45"/>
      <c r="E5" s="48" t="s">
        <v>49</v>
      </c>
      <c r="F5" s="48" t="s">
        <v>49</v>
      </c>
      <c r="G5" s="48" t="s">
        <v>49</v>
      </c>
      <c r="H5" s="48" t="s">
        <v>49</v>
      </c>
      <c r="I5" s="48"/>
      <c r="J5" s="48" t="s">
        <v>49</v>
      </c>
      <c r="K5" s="48" t="s">
        <v>49</v>
      </c>
      <c r="L5" s="48" t="s">
        <v>49</v>
      </c>
      <c r="M5" s="2">
        <f>COUNTIF(D5:L5,"x")</f>
        <v>7</v>
      </c>
      <c r="P5" t="s">
        <v>133</v>
      </c>
      <c r="Q5" t="s">
        <v>134</v>
      </c>
      <c r="R5" t="s">
        <v>47</v>
      </c>
    </row>
    <row r="6" spans="1:18" ht="24" customHeight="1" thickBot="1" x14ac:dyDescent="0.3">
      <c r="A6" s="41">
        <v>2</v>
      </c>
      <c r="B6" s="42" t="s">
        <v>57</v>
      </c>
      <c r="C6" s="44" t="s">
        <v>58</v>
      </c>
      <c r="D6" s="46" t="s">
        <v>49</v>
      </c>
      <c r="E6" s="49"/>
      <c r="F6" s="49" t="s">
        <v>49</v>
      </c>
      <c r="G6" s="49" t="s">
        <v>49</v>
      </c>
      <c r="H6" s="49" t="s">
        <v>49</v>
      </c>
      <c r="I6" s="49"/>
      <c r="J6" s="49" t="s">
        <v>49</v>
      </c>
      <c r="K6" s="49"/>
      <c r="L6" s="49" t="s">
        <v>49</v>
      </c>
      <c r="M6" s="2">
        <f t="shared" ref="M6:M39" si="0">COUNTIF(D6:L6,"x")</f>
        <v>6</v>
      </c>
      <c r="P6" s="55" t="s">
        <v>24</v>
      </c>
      <c r="Q6">
        <f>COUNTIF($M$5:$M$39,"0")</f>
        <v>9</v>
      </c>
      <c r="R6" s="56">
        <f>Q6/$Q$16</f>
        <v>0.25714285714285712</v>
      </c>
    </row>
    <row r="7" spans="1:18" ht="24" customHeight="1" thickBot="1" x14ac:dyDescent="0.3">
      <c r="A7" s="41">
        <v>3</v>
      </c>
      <c r="B7" s="42" t="s">
        <v>59</v>
      </c>
      <c r="C7" s="44" t="s">
        <v>60</v>
      </c>
      <c r="D7" s="46"/>
      <c r="E7" s="49"/>
      <c r="F7" s="49"/>
      <c r="G7" s="49"/>
      <c r="H7" s="49"/>
      <c r="I7" s="49"/>
      <c r="J7" s="49"/>
      <c r="K7" s="49"/>
      <c r="L7" s="49"/>
      <c r="M7" s="2">
        <f t="shared" si="0"/>
        <v>0</v>
      </c>
      <c r="P7" s="55" t="s">
        <v>25</v>
      </c>
      <c r="Q7">
        <f>COUNTIF($M$5:$M$39,"1")</f>
        <v>4</v>
      </c>
      <c r="R7" s="56">
        <f t="shared" ref="R7:R15" si="1">Q7/$Q$16</f>
        <v>0.11428571428571428</v>
      </c>
    </row>
    <row r="8" spans="1:18" ht="24" customHeight="1" thickBot="1" x14ac:dyDescent="0.3">
      <c r="A8" s="41">
        <v>4</v>
      </c>
      <c r="B8" s="42" t="s">
        <v>61</v>
      </c>
      <c r="C8" s="44" t="s">
        <v>62</v>
      </c>
      <c r="D8" s="46" t="s">
        <v>49</v>
      </c>
      <c r="E8" s="49" t="s">
        <v>49</v>
      </c>
      <c r="F8" s="49" t="s">
        <v>49</v>
      </c>
      <c r="G8" s="49" t="s">
        <v>49</v>
      </c>
      <c r="H8" s="49" t="s">
        <v>49</v>
      </c>
      <c r="I8" s="49" t="s">
        <v>49</v>
      </c>
      <c r="J8" s="49" t="s">
        <v>49</v>
      </c>
      <c r="K8" s="49" t="s">
        <v>49</v>
      </c>
      <c r="L8" s="49" t="s">
        <v>49</v>
      </c>
      <c r="M8" s="2">
        <f t="shared" si="0"/>
        <v>9</v>
      </c>
      <c r="P8" s="55" t="s">
        <v>26</v>
      </c>
      <c r="Q8">
        <f>COUNTIF($M$5:$M$39,"2")</f>
        <v>5</v>
      </c>
      <c r="R8" s="56">
        <f t="shared" si="1"/>
        <v>0.14285714285714285</v>
      </c>
    </row>
    <row r="9" spans="1:18" ht="24" customHeight="1" thickBot="1" x14ac:dyDescent="0.3">
      <c r="A9" s="41">
        <v>5</v>
      </c>
      <c r="B9" s="42" t="s">
        <v>63</v>
      </c>
      <c r="C9" s="44" t="s">
        <v>64</v>
      </c>
      <c r="D9" s="46"/>
      <c r="E9" s="49" t="s">
        <v>49</v>
      </c>
      <c r="F9" s="49"/>
      <c r="G9" s="49"/>
      <c r="H9" s="49"/>
      <c r="I9" s="49"/>
      <c r="J9" s="49"/>
      <c r="K9" s="49"/>
      <c r="L9" s="49"/>
      <c r="M9" s="2">
        <f t="shared" si="0"/>
        <v>1</v>
      </c>
      <c r="P9" s="55" t="s">
        <v>27</v>
      </c>
      <c r="Q9">
        <f>COUNTIF($M$5:$M$39,"3")</f>
        <v>0</v>
      </c>
      <c r="R9" s="56">
        <f t="shared" si="1"/>
        <v>0</v>
      </c>
    </row>
    <row r="10" spans="1:18" ht="24" customHeight="1" thickBot="1" x14ac:dyDescent="0.3">
      <c r="A10" s="41">
        <v>6</v>
      </c>
      <c r="B10" s="42" t="s">
        <v>65</v>
      </c>
      <c r="C10" s="44" t="s">
        <v>66</v>
      </c>
      <c r="D10" s="46" t="s">
        <v>49</v>
      </c>
      <c r="E10" s="49" t="s">
        <v>49</v>
      </c>
      <c r="F10" s="49"/>
      <c r="G10" s="49" t="s">
        <v>49</v>
      </c>
      <c r="H10" s="49" t="s">
        <v>49</v>
      </c>
      <c r="I10" s="49"/>
      <c r="J10" s="49"/>
      <c r="K10" s="49" t="s">
        <v>49</v>
      </c>
      <c r="L10" s="49" t="s">
        <v>49</v>
      </c>
      <c r="M10" s="2">
        <f t="shared" si="0"/>
        <v>6</v>
      </c>
      <c r="P10" s="55" t="s">
        <v>28</v>
      </c>
      <c r="Q10">
        <f>COUNTIF($M$5:$M$39,"4")</f>
        <v>2</v>
      </c>
      <c r="R10" s="56">
        <f t="shared" si="1"/>
        <v>5.7142857142857141E-2</v>
      </c>
    </row>
    <row r="11" spans="1:18" ht="24" customHeight="1" thickBot="1" x14ac:dyDescent="0.3">
      <c r="A11" s="41">
        <v>7</v>
      </c>
      <c r="B11" s="42" t="s">
        <v>67</v>
      </c>
      <c r="C11" s="44" t="s">
        <v>68</v>
      </c>
      <c r="D11" s="46"/>
      <c r="E11" s="49"/>
      <c r="F11" s="49"/>
      <c r="G11" s="49"/>
      <c r="H11" s="49"/>
      <c r="I11" s="49"/>
      <c r="J11" s="49"/>
      <c r="K11" s="49"/>
      <c r="L11" s="49"/>
      <c r="M11" s="2">
        <f t="shared" si="0"/>
        <v>0</v>
      </c>
      <c r="P11" s="55" t="s">
        <v>29</v>
      </c>
      <c r="Q11">
        <f>COUNTIF($M$5:$M$39,"5")</f>
        <v>3</v>
      </c>
      <c r="R11" s="56">
        <f t="shared" si="1"/>
        <v>8.5714285714285715E-2</v>
      </c>
    </row>
    <row r="12" spans="1:18" ht="24" customHeight="1" thickBot="1" x14ac:dyDescent="0.3">
      <c r="A12" s="41">
        <v>9</v>
      </c>
      <c r="B12" s="42" t="s">
        <v>69</v>
      </c>
      <c r="C12" s="44" t="s">
        <v>70</v>
      </c>
      <c r="D12" s="46" t="s">
        <v>49</v>
      </c>
      <c r="E12" s="49" t="s">
        <v>49</v>
      </c>
      <c r="F12" s="49"/>
      <c r="G12" s="49"/>
      <c r="H12" s="49" t="s">
        <v>49</v>
      </c>
      <c r="I12" s="49"/>
      <c r="J12" s="49"/>
      <c r="K12" s="49" t="s">
        <v>49</v>
      </c>
      <c r="L12" s="49" t="s">
        <v>49</v>
      </c>
      <c r="M12" s="2">
        <f t="shared" si="0"/>
        <v>5</v>
      </c>
      <c r="P12" s="55" t="s">
        <v>30</v>
      </c>
      <c r="Q12">
        <f>COUNTIF($M$5:$M$39,"6")</f>
        <v>4</v>
      </c>
      <c r="R12" s="56">
        <f t="shared" si="1"/>
        <v>0.11428571428571428</v>
      </c>
    </row>
    <row r="13" spans="1:18" ht="24" customHeight="1" thickBot="1" x14ac:dyDescent="0.3">
      <c r="A13" s="41">
        <v>10</v>
      </c>
      <c r="B13" s="42" t="s">
        <v>71</v>
      </c>
      <c r="C13" s="44" t="s">
        <v>72</v>
      </c>
      <c r="D13" s="46" t="s">
        <v>49</v>
      </c>
      <c r="E13" s="49" t="s">
        <v>49</v>
      </c>
      <c r="F13" s="49" t="s">
        <v>49</v>
      </c>
      <c r="G13" s="49"/>
      <c r="H13" s="49"/>
      <c r="I13" s="49"/>
      <c r="J13" s="49" t="s">
        <v>49</v>
      </c>
      <c r="K13" s="49" t="s">
        <v>49</v>
      </c>
      <c r="L13" s="49" t="s">
        <v>49</v>
      </c>
      <c r="M13" s="2">
        <f t="shared" si="0"/>
        <v>6</v>
      </c>
      <c r="P13" s="55" t="s">
        <v>31</v>
      </c>
      <c r="Q13">
        <f>COUNTIF($M$5:$M$39,"7")</f>
        <v>3</v>
      </c>
      <c r="R13" s="56">
        <f t="shared" si="1"/>
        <v>8.5714285714285715E-2</v>
      </c>
    </row>
    <row r="14" spans="1:18" ht="24" customHeight="1" thickBot="1" x14ac:dyDescent="0.3">
      <c r="A14" s="41">
        <v>11</v>
      </c>
      <c r="B14" s="42" t="s">
        <v>73</v>
      </c>
      <c r="C14" s="44" t="s">
        <v>74</v>
      </c>
      <c r="D14" s="46" t="s">
        <v>49</v>
      </c>
      <c r="E14" s="49" t="s">
        <v>49</v>
      </c>
      <c r="F14" s="49" t="s">
        <v>49</v>
      </c>
      <c r="G14" s="49" t="s">
        <v>49</v>
      </c>
      <c r="H14" s="49" t="s">
        <v>49</v>
      </c>
      <c r="I14" s="49" t="s">
        <v>49</v>
      </c>
      <c r="J14" s="49" t="s">
        <v>49</v>
      </c>
      <c r="K14" s="49" t="s">
        <v>49</v>
      </c>
      <c r="L14" s="49" t="s">
        <v>49</v>
      </c>
      <c r="M14" s="2">
        <f t="shared" si="0"/>
        <v>9</v>
      </c>
      <c r="P14" s="55" t="s">
        <v>32</v>
      </c>
      <c r="Q14">
        <f>COUNTIF($M$5:$M$39,"8")</f>
        <v>2</v>
      </c>
      <c r="R14" s="56">
        <f t="shared" si="1"/>
        <v>5.7142857142857141E-2</v>
      </c>
    </row>
    <row r="15" spans="1:18" ht="24" customHeight="1" thickBot="1" x14ac:dyDescent="0.3">
      <c r="A15" s="41">
        <v>12</v>
      </c>
      <c r="B15" s="42" t="s">
        <v>75</v>
      </c>
      <c r="C15" s="44" t="s">
        <v>76</v>
      </c>
      <c r="D15" s="46" t="s">
        <v>49</v>
      </c>
      <c r="E15" s="49"/>
      <c r="F15" s="49" t="s">
        <v>49</v>
      </c>
      <c r="G15" s="49"/>
      <c r="H15" s="49"/>
      <c r="I15" s="49"/>
      <c r="J15" s="49" t="s">
        <v>49</v>
      </c>
      <c r="K15" s="49" t="s">
        <v>49</v>
      </c>
      <c r="L15" s="49" t="s">
        <v>49</v>
      </c>
      <c r="M15" s="2">
        <f t="shared" si="0"/>
        <v>5</v>
      </c>
      <c r="P15" s="55" t="s">
        <v>33</v>
      </c>
      <c r="Q15">
        <f>COUNTIF($M$5:$M$39,"9")</f>
        <v>3</v>
      </c>
      <c r="R15" s="56">
        <f t="shared" si="1"/>
        <v>8.5714285714285715E-2</v>
      </c>
    </row>
    <row r="16" spans="1:18" ht="24" customHeight="1" thickBot="1" x14ac:dyDescent="0.3">
      <c r="A16" s="41">
        <v>13</v>
      </c>
      <c r="B16" s="42" t="s">
        <v>77</v>
      </c>
      <c r="C16" s="44" t="s">
        <v>78</v>
      </c>
      <c r="D16" s="46" t="s">
        <v>49</v>
      </c>
      <c r="E16" s="49" t="s">
        <v>49</v>
      </c>
      <c r="F16" s="49"/>
      <c r="G16" s="49" t="s">
        <v>49</v>
      </c>
      <c r="H16" s="49"/>
      <c r="I16" s="49"/>
      <c r="J16" s="49"/>
      <c r="K16" s="49" t="s">
        <v>49</v>
      </c>
      <c r="L16" s="49" t="s">
        <v>49</v>
      </c>
      <c r="M16" s="2">
        <f t="shared" si="0"/>
        <v>5</v>
      </c>
      <c r="Q16">
        <f>SUM(Q6:Q15)</f>
        <v>35</v>
      </c>
    </row>
    <row r="17" spans="1:17" ht="24" customHeight="1" thickBot="1" x14ac:dyDescent="0.3">
      <c r="A17" s="41">
        <v>14</v>
      </c>
      <c r="B17" s="42" t="s">
        <v>79</v>
      </c>
      <c r="C17" s="44" t="s">
        <v>80</v>
      </c>
      <c r="D17" s="46" t="s">
        <v>49</v>
      </c>
      <c r="E17" s="49" t="s">
        <v>49</v>
      </c>
      <c r="F17" s="49" t="s">
        <v>49</v>
      </c>
      <c r="G17" s="49"/>
      <c r="H17" s="49"/>
      <c r="I17" s="49"/>
      <c r="J17" s="49"/>
      <c r="K17" s="49" t="s">
        <v>49</v>
      </c>
      <c r="L17" s="49"/>
      <c r="M17" s="2">
        <f t="shared" si="0"/>
        <v>4</v>
      </c>
    </row>
    <row r="18" spans="1:17" ht="24" customHeight="1" thickBot="1" x14ac:dyDescent="0.3">
      <c r="A18" s="41">
        <v>15</v>
      </c>
      <c r="B18" s="42" t="s">
        <v>81</v>
      </c>
      <c r="C18" s="44" t="s">
        <v>82</v>
      </c>
      <c r="D18" s="46"/>
      <c r="E18" s="49"/>
      <c r="F18" s="49"/>
      <c r="G18" s="49"/>
      <c r="H18" s="49"/>
      <c r="I18" s="49"/>
      <c r="J18" s="49"/>
      <c r="K18" s="49"/>
      <c r="L18" s="49"/>
      <c r="M18" s="2">
        <f t="shared" si="0"/>
        <v>0</v>
      </c>
    </row>
    <row r="19" spans="1:17" ht="24" customHeight="1" thickBot="1" x14ac:dyDescent="0.3">
      <c r="A19" s="41">
        <v>16</v>
      </c>
      <c r="B19" s="42" t="s">
        <v>83</v>
      </c>
      <c r="C19" s="44" t="s">
        <v>84</v>
      </c>
      <c r="D19" s="46"/>
      <c r="E19" s="49"/>
      <c r="F19" s="49"/>
      <c r="G19" s="49"/>
      <c r="H19" s="49"/>
      <c r="I19" s="49"/>
      <c r="J19" s="49" t="s">
        <v>49</v>
      </c>
      <c r="K19" s="49" t="s">
        <v>49</v>
      </c>
      <c r="L19" s="49"/>
      <c r="M19" s="2">
        <f t="shared" si="0"/>
        <v>2</v>
      </c>
    </row>
    <row r="20" spans="1:17" ht="24" customHeight="1" thickBot="1" x14ac:dyDescent="0.3">
      <c r="A20" s="41">
        <v>17</v>
      </c>
      <c r="B20" s="42" t="s">
        <v>85</v>
      </c>
      <c r="C20" s="44" t="s">
        <v>86</v>
      </c>
      <c r="D20" s="46"/>
      <c r="E20" s="49"/>
      <c r="F20" s="49"/>
      <c r="G20" s="49"/>
      <c r="H20" s="49"/>
      <c r="I20" s="49"/>
      <c r="J20" s="49"/>
      <c r="K20" s="49"/>
      <c r="L20" s="49" t="s">
        <v>49</v>
      </c>
      <c r="M20" s="2">
        <f t="shared" si="0"/>
        <v>1</v>
      </c>
    </row>
    <row r="21" spans="1:17" ht="24" customHeight="1" thickBot="1" x14ac:dyDescent="0.3">
      <c r="A21" s="41">
        <v>18</v>
      </c>
      <c r="B21" s="42" t="s">
        <v>87</v>
      </c>
      <c r="C21" s="44" t="s">
        <v>88</v>
      </c>
      <c r="D21" s="46" t="s">
        <v>49</v>
      </c>
      <c r="E21" s="49" t="s">
        <v>49</v>
      </c>
      <c r="F21" s="49" t="s">
        <v>49</v>
      </c>
      <c r="G21" s="49" t="s">
        <v>49</v>
      </c>
      <c r="H21" s="49" t="s">
        <v>49</v>
      </c>
      <c r="I21" s="49"/>
      <c r="J21" s="49" t="s">
        <v>49</v>
      </c>
      <c r="K21" s="49" t="s">
        <v>49</v>
      </c>
      <c r="L21" s="49" t="s">
        <v>49</v>
      </c>
      <c r="M21" s="2">
        <f t="shared" si="0"/>
        <v>8</v>
      </c>
      <c r="Q21">
        <f>SUM(Q6:Q8)</f>
        <v>18</v>
      </c>
    </row>
    <row r="22" spans="1:17" ht="24" customHeight="1" thickBot="1" x14ac:dyDescent="0.3">
      <c r="A22" s="41">
        <v>19</v>
      </c>
      <c r="B22" s="42" t="s">
        <v>89</v>
      </c>
      <c r="C22" s="44" t="s">
        <v>90</v>
      </c>
      <c r="D22" s="46"/>
      <c r="E22" s="49"/>
      <c r="F22" s="49"/>
      <c r="G22" s="49"/>
      <c r="H22" s="49"/>
      <c r="I22" s="49"/>
      <c r="J22" s="49"/>
      <c r="K22" s="49"/>
      <c r="L22" s="49"/>
      <c r="M22" s="2">
        <f t="shared" si="0"/>
        <v>0</v>
      </c>
    </row>
    <row r="23" spans="1:17" ht="24" customHeight="1" thickBot="1" x14ac:dyDescent="0.3">
      <c r="A23" s="41">
        <v>21</v>
      </c>
      <c r="B23" s="42" t="s">
        <v>91</v>
      </c>
      <c r="C23" s="44" t="s">
        <v>92</v>
      </c>
      <c r="D23" s="46"/>
      <c r="E23" s="49"/>
      <c r="F23" s="49"/>
      <c r="G23" s="49"/>
      <c r="H23" s="49"/>
      <c r="I23" s="49"/>
      <c r="J23" s="49"/>
      <c r="K23" s="49" t="s">
        <v>49</v>
      </c>
      <c r="L23" s="49"/>
      <c r="M23" s="2">
        <f t="shared" si="0"/>
        <v>1</v>
      </c>
    </row>
    <row r="24" spans="1:17" ht="24" customHeight="1" thickBot="1" x14ac:dyDescent="0.3">
      <c r="A24" s="41">
        <v>22</v>
      </c>
      <c r="B24" s="42" t="s">
        <v>93</v>
      </c>
      <c r="C24" s="44" t="s">
        <v>94</v>
      </c>
      <c r="D24" s="46"/>
      <c r="E24" s="49"/>
      <c r="F24" s="49"/>
      <c r="G24" s="49"/>
      <c r="H24" s="49"/>
      <c r="I24" s="49"/>
      <c r="J24" s="49"/>
      <c r="K24" s="49"/>
      <c r="L24" s="49"/>
      <c r="M24" s="2">
        <f t="shared" si="0"/>
        <v>0</v>
      </c>
    </row>
    <row r="25" spans="1:17" ht="24" customHeight="1" thickBot="1" x14ac:dyDescent="0.3">
      <c r="A25" s="41">
        <v>23</v>
      </c>
      <c r="B25" s="42" t="s">
        <v>95</v>
      </c>
      <c r="C25" s="44" t="s">
        <v>96</v>
      </c>
      <c r="D25" s="46"/>
      <c r="E25" s="49" t="s">
        <v>49</v>
      </c>
      <c r="F25" s="49"/>
      <c r="G25" s="49"/>
      <c r="H25" s="49"/>
      <c r="I25" s="49"/>
      <c r="J25" s="49"/>
      <c r="K25" s="49" t="s">
        <v>49</v>
      </c>
      <c r="L25" s="49"/>
      <c r="M25" s="2">
        <f t="shared" si="0"/>
        <v>2</v>
      </c>
    </row>
    <row r="26" spans="1:17" ht="24" customHeight="1" thickBot="1" x14ac:dyDescent="0.3">
      <c r="A26" s="41">
        <v>24</v>
      </c>
      <c r="B26" s="42" t="s">
        <v>97</v>
      </c>
      <c r="C26" s="44" t="s">
        <v>98</v>
      </c>
      <c r="D26" s="46" t="s">
        <v>49</v>
      </c>
      <c r="E26" s="49" t="s">
        <v>49</v>
      </c>
      <c r="F26" s="49" t="s">
        <v>49</v>
      </c>
      <c r="G26" s="49" t="s">
        <v>49</v>
      </c>
      <c r="H26" s="49" t="s">
        <v>49</v>
      </c>
      <c r="I26" s="49" t="s">
        <v>49</v>
      </c>
      <c r="J26" s="49" t="s">
        <v>49</v>
      </c>
      <c r="K26" s="49" t="s">
        <v>49</v>
      </c>
      <c r="L26" s="49"/>
      <c r="M26" s="2">
        <f t="shared" si="0"/>
        <v>8</v>
      </c>
    </row>
    <row r="27" spans="1:17" ht="24" customHeight="1" thickBot="1" x14ac:dyDescent="0.3">
      <c r="A27" s="41">
        <v>25</v>
      </c>
      <c r="B27" s="42" t="s">
        <v>99</v>
      </c>
      <c r="C27" s="44" t="s">
        <v>100</v>
      </c>
      <c r="D27" s="46"/>
      <c r="E27" s="49" t="s">
        <v>49</v>
      </c>
      <c r="F27" s="49" t="s">
        <v>49</v>
      </c>
      <c r="G27" s="49" t="s">
        <v>49</v>
      </c>
      <c r="H27" s="49" t="s">
        <v>49</v>
      </c>
      <c r="I27" s="49" t="s">
        <v>49</v>
      </c>
      <c r="J27" s="49" t="s">
        <v>49</v>
      </c>
      <c r="K27" s="49"/>
      <c r="L27" s="49"/>
      <c r="M27" s="2">
        <f t="shared" si="0"/>
        <v>6</v>
      </c>
    </row>
    <row r="28" spans="1:17" ht="24" customHeight="1" thickBot="1" x14ac:dyDescent="0.3">
      <c r="A28" s="41">
        <v>26</v>
      </c>
      <c r="B28" s="42" t="s">
        <v>101</v>
      </c>
      <c r="C28" s="44" t="s">
        <v>102</v>
      </c>
      <c r="D28" s="46"/>
      <c r="E28" s="49"/>
      <c r="F28" s="49"/>
      <c r="G28" s="49"/>
      <c r="H28" s="49"/>
      <c r="I28" s="49"/>
      <c r="J28" s="49" t="s">
        <v>49</v>
      </c>
      <c r="K28" s="49"/>
      <c r="L28" s="49" t="s">
        <v>49</v>
      </c>
      <c r="M28" s="2">
        <f t="shared" si="0"/>
        <v>2</v>
      </c>
    </row>
    <row r="29" spans="1:17" ht="24" customHeight="1" thickBot="1" x14ac:dyDescent="0.3">
      <c r="A29" s="41">
        <v>27</v>
      </c>
      <c r="B29" s="42" t="s">
        <v>103</v>
      </c>
      <c r="C29" s="44" t="s">
        <v>104</v>
      </c>
      <c r="D29" s="46"/>
      <c r="E29" s="49"/>
      <c r="F29" s="49"/>
      <c r="G29" s="49"/>
      <c r="H29" s="49"/>
      <c r="I29" s="49"/>
      <c r="J29" s="49"/>
      <c r="K29" s="49"/>
      <c r="L29" s="49"/>
      <c r="M29" s="2">
        <f t="shared" si="0"/>
        <v>0</v>
      </c>
    </row>
    <row r="30" spans="1:17" ht="24" customHeight="1" thickBot="1" x14ac:dyDescent="0.3">
      <c r="A30" s="41">
        <v>28</v>
      </c>
      <c r="B30" s="42" t="s">
        <v>105</v>
      </c>
      <c r="C30" s="44" t="s">
        <v>106</v>
      </c>
      <c r="D30" s="46" t="s">
        <v>49</v>
      </c>
      <c r="E30" s="49" t="s">
        <v>49</v>
      </c>
      <c r="F30" s="49" t="s">
        <v>49</v>
      </c>
      <c r="G30" s="49" t="s">
        <v>49</v>
      </c>
      <c r="H30" s="49"/>
      <c r="I30" s="49" t="s">
        <v>49</v>
      </c>
      <c r="J30" s="49"/>
      <c r="K30" s="49" t="s">
        <v>49</v>
      </c>
      <c r="L30" s="49" t="s">
        <v>49</v>
      </c>
      <c r="M30" s="2">
        <f t="shared" si="0"/>
        <v>7</v>
      </c>
    </row>
    <row r="31" spans="1:17" ht="24" customHeight="1" thickBot="1" x14ac:dyDescent="0.3">
      <c r="A31" s="41">
        <v>29</v>
      </c>
      <c r="B31" s="42" t="s">
        <v>107</v>
      </c>
      <c r="C31" s="44" t="s">
        <v>108</v>
      </c>
      <c r="D31" s="46" t="s">
        <v>49</v>
      </c>
      <c r="E31" s="49" t="s">
        <v>49</v>
      </c>
      <c r="F31" s="49"/>
      <c r="G31" s="49"/>
      <c r="H31" s="49" t="s">
        <v>49</v>
      </c>
      <c r="I31" s="49" t="s">
        <v>49</v>
      </c>
      <c r="J31" s="49" t="s">
        <v>49</v>
      </c>
      <c r="K31" s="49" t="s">
        <v>49</v>
      </c>
      <c r="L31" s="49" t="s">
        <v>49</v>
      </c>
      <c r="M31" s="2">
        <f t="shared" si="0"/>
        <v>7</v>
      </c>
    </row>
    <row r="32" spans="1:17" ht="24" customHeight="1" thickBot="1" x14ac:dyDescent="0.3">
      <c r="A32" s="41">
        <v>32</v>
      </c>
      <c r="B32" s="42" t="s">
        <v>109</v>
      </c>
      <c r="C32" s="44" t="s">
        <v>110</v>
      </c>
      <c r="D32" s="46"/>
      <c r="E32" s="49"/>
      <c r="F32" s="49"/>
      <c r="G32" s="49"/>
      <c r="H32" s="49"/>
      <c r="I32" s="49" t="s">
        <v>49</v>
      </c>
      <c r="J32" s="49" t="s">
        <v>49</v>
      </c>
      <c r="K32" s="49"/>
      <c r="L32" s="49"/>
      <c r="M32" s="2">
        <f t="shared" si="0"/>
        <v>2</v>
      </c>
    </row>
    <row r="33" spans="1:13" ht="24" customHeight="1" thickBot="1" x14ac:dyDescent="0.3">
      <c r="A33" s="41">
        <v>33</v>
      </c>
      <c r="B33" s="42" t="s">
        <v>111</v>
      </c>
      <c r="C33" s="44" t="s">
        <v>112</v>
      </c>
      <c r="D33" s="46"/>
      <c r="E33" s="49"/>
      <c r="F33" s="49"/>
      <c r="G33" s="49"/>
      <c r="H33" s="49"/>
      <c r="I33" s="49"/>
      <c r="J33" s="49"/>
      <c r="K33" s="49"/>
      <c r="L33" s="49"/>
      <c r="M33" s="2">
        <f t="shared" si="0"/>
        <v>0</v>
      </c>
    </row>
    <row r="34" spans="1:13" ht="24" customHeight="1" thickBot="1" x14ac:dyDescent="0.3">
      <c r="A34" s="41">
        <v>34</v>
      </c>
      <c r="B34" s="42" t="s">
        <v>113</v>
      </c>
      <c r="C34" s="44" t="s">
        <v>114</v>
      </c>
      <c r="D34" s="46"/>
      <c r="E34" s="49"/>
      <c r="F34" s="49"/>
      <c r="G34" s="49" t="s">
        <v>49</v>
      </c>
      <c r="H34" s="49" t="s">
        <v>49</v>
      </c>
      <c r="I34" s="49"/>
      <c r="J34" s="49"/>
      <c r="K34" s="49" t="s">
        <v>49</v>
      </c>
      <c r="L34" s="49" t="s">
        <v>49</v>
      </c>
      <c r="M34" s="2">
        <f t="shared" si="0"/>
        <v>4</v>
      </c>
    </row>
    <row r="35" spans="1:13" ht="24" customHeight="1" thickBot="1" x14ac:dyDescent="0.3">
      <c r="A35" s="41">
        <v>35</v>
      </c>
      <c r="B35" s="42" t="s">
        <v>115</v>
      </c>
      <c r="C35" s="44" t="s">
        <v>116</v>
      </c>
      <c r="D35" s="46"/>
      <c r="E35" s="49"/>
      <c r="F35" s="49" t="s">
        <v>49</v>
      </c>
      <c r="G35" s="49"/>
      <c r="H35" s="49"/>
      <c r="I35" s="49" t="s">
        <v>49</v>
      </c>
      <c r="J35" s="49"/>
      <c r="K35" s="49"/>
      <c r="L35" s="49"/>
      <c r="M35" s="2">
        <f t="shared" si="0"/>
        <v>2</v>
      </c>
    </row>
    <row r="36" spans="1:13" ht="24" customHeight="1" thickBot="1" x14ac:dyDescent="0.3">
      <c r="A36" s="41">
        <v>36</v>
      </c>
      <c r="B36" s="42" t="s">
        <v>117</v>
      </c>
      <c r="C36" s="44" t="s">
        <v>118</v>
      </c>
      <c r="D36" s="46"/>
      <c r="E36" s="49"/>
      <c r="F36" s="49"/>
      <c r="G36" s="49"/>
      <c r="H36" s="49"/>
      <c r="I36" s="49" t="s">
        <v>49</v>
      </c>
      <c r="J36" s="49"/>
      <c r="K36" s="49"/>
      <c r="L36" s="49"/>
      <c r="M36" s="2">
        <f t="shared" si="0"/>
        <v>1</v>
      </c>
    </row>
    <row r="37" spans="1:13" ht="24" customHeight="1" thickBot="1" x14ac:dyDescent="0.3">
      <c r="A37" s="41">
        <v>37</v>
      </c>
      <c r="B37" s="42" t="s">
        <v>119</v>
      </c>
      <c r="C37" s="44" t="s">
        <v>120</v>
      </c>
      <c r="D37" s="46"/>
      <c r="E37" s="49"/>
      <c r="F37" s="49"/>
      <c r="G37" s="49"/>
      <c r="H37" s="49"/>
      <c r="I37" s="49"/>
      <c r="J37" s="49"/>
      <c r="K37" s="49"/>
      <c r="L37" s="49"/>
      <c r="M37" s="2">
        <f t="shared" si="0"/>
        <v>0</v>
      </c>
    </row>
    <row r="38" spans="1:13" ht="24" customHeight="1" thickBot="1" x14ac:dyDescent="0.3">
      <c r="A38" s="41">
        <v>38</v>
      </c>
      <c r="B38" s="42" t="s">
        <v>121</v>
      </c>
      <c r="C38" s="44" t="s">
        <v>122</v>
      </c>
      <c r="D38" s="46" t="s">
        <v>49</v>
      </c>
      <c r="E38" s="49" t="s">
        <v>49</v>
      </c>
      <c r="F38" s="49" t="s">
        <v>49</v>
      </c>
      <c r="G38" s="49" t="s">
        <v>49</v>
      </c>
      <c r="H38" s="49" t="s">
        <v>49</v>
      </c>
      <c r="I38" s="49" t="s">
        <v>49</v>
      </c>
      <c r="J38" s="49" t="s">
        <v>49</v>
      </c>
      <c r="K38" s="49" t="s">
        <v>49</v>
      </c>
      <c r="L38" s="49" t="s">
        <v>49</v>
      </c>
      <c r="M38" s="2">
        <f t="shared" si="0"/>
        <v>9</v>
      </c>
    </row>
    <row r="39" spans="1:13" ht="24" customHeight="1" thickBot="1" x14ac:dyDescent="0.3">
      <c r="A39" s="41">
        <v>39</v>
      </c>
      <c r="B39" s="42" t="s">
        <v>123</v>
      </c>
      <c r="C39" s="44" t="s">
        <v>124</v>
      </c>
      <c r="D39" s="47"/>
      <c r="E39" s="50"/>
      <c r="F39" s="50"/>
      <c r="G39" s="50"/>
      <c r="H39" s="50"/>
      <c r="I39" s="50"/>
      <c r="J39" s="50"/>
      <c r="K39" s="50"/>
      <c r="L39" s="50"/>
      <c r="M39" s="2">
        <f t="shared" si="0"/>
        <v>0</v>
      </c>
    </row>
    <row r="40" spans="1:13" ht="15.75" thickBot="1" x14ac:dyDescent="0.3">
      <c r="A40" s="38"/>
      <c r="B40" s="37"/>
      <c r="C40" s="40"/>
      <c r="D40" s="51"/>
      <c r="E40" s="34"/>
      <c r="F40" s="34"/>
      <c r="G40" s="34"/>
      <c r="H40" s="34"/>
      <c r="I40" s="34"/>
      <c r="J40" s="34"/>
      <c r="K40" s="34"/>
      <c r="L40" s="34"/>
      <c r="M40" s="35"/>
    </row>
    <row r="41" spans="1:13" ht="15.75" thickBot="1" x14ac:dyDescent="0.3">
      <c r="A41" s="39"/>
      <c r="B41" s="11"/>
      <c r="C41" s="37"/>
      <c r="E41" s="5">
        <f t="shared" ref="E41:L41" si="2">COUNTIF(E5:E39,"X")</f>
        <v>16</v>
      </c>
      <c r="F41" s="5">
        <f t="shared" si="2"/>
        <v>13</v>
      </c>
      <c r="G41" s="5">
        <f t="shared" si="2"/>
        <v>12</v>
      </c>
      <c r="H41" s="5">
        <f t="shared" si="2"/>
        <v>12</v>
      </c>
      <c r="I41" s="5">
        <f t="shared" si="2"/>
        <v>10</v>
      </c>
      <c r="J41" s="5"/>
      <c r="K41" s="5"/>
      <c r="L41" s="5">
        <f t="shared" si="2"/>
        <v>16</v>
      </c>
      <c r="M41" s="6">
        <f>COUNTIF(M5:M39,"&gt;0")</f>
        <v>26</v>
      </c>
    </row>
    <row r="42" spans="1:13" ht="17.25" thickBot="1" x14ac:dyDescent="0.3">
      <c r="C42" s="11"/>
      <c r="D42" s="52"/>
      <c r="E42" s="4">
        <f t="shared" ref="E42:M42" si="3">E41/40</f>
        <v>0.4</v>
      </c>
      <c r="F42" s="4">
        <f t="shared" si="3"/>
        <v>0.32500000000000001</v>
      </c>
      <c r="G42" s="4">
        <f t="shared" si="3"/>
        <v>0.3</v>
      </c>
      <c r="H42" s="4">
        <f t="shared" si="3"/>
        <v>0.3</v>
      </c>
      <c r="I42" s="4">
        <f t="shared" si="3"/>
        <v>0.25</v>
      </c>
      <c r="J42" s="4"/>
      <c r="K42" s="4"/>
      <c r="L42" s="4">
        <f t="shared" si="3"/>
        <v>0.4</v>
      </c>
      <c r="M42" s="4">
        <f t="shared" si="3"/>
        <v>0.65</v>
      </c>
    </row>
  </sheetData>
  <mergeCells count="6">
    <mergeCell ref="A1:B1"/>
    <mergeCell ref="E1:L2"/>
    <mergeCell ref="M1:M4"/>
    <mergeCell ref="A2:B2"/>
    <mergeCell ref="A3:A4"/>
    <mergeCell ref="B3:B4"/>
  </mergeCells>
  <conditionalFormatting sqref="E5:L40">
    <cfRule type="cellIs" dxfId="7" priority="4" operator="equal">
      <formula>$G$6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topLeftCell="A2" zoomScale="83" zoomScaleNormal="83" workbookViewId="0">
      <pane xSplit="3" ySplit="3" topLeftCell="L9" activePane="bottomRight" state="frozenSplit"/>
      <selection activeCell="C46" sqref="C46"/>
      <selection pane="topRight" activeCell="C46" sqref="C46"/>
      <selection pane="bottomLeft" activeCell="C46" sqref="C46"/>
      <selection pane="bottomRight" activeCell="Z8" sqref="Z8"/>
    </sheetView>
  </sheetViews>
  <sheetFormatPr baseColWidth="10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bestFit="1" customWidth="1"/>
    <col min="6" max="7" width="8.85546875" bestFit="1" customWidth="1"/>
    <col min="8" max="8" width="8.28515625" bestFit="1" customWidth="1"/>
    <col min="9" max="9" width="8.28515625" customWidth="1"/>
    <col min="10" max="10" width="6.28515625" customWidth="1"/>
    <col min="11" max="11" width="6.7109375" bestFit="1" customWidth="1"/>
    <col min="12" max="12" width="8.140625" customWidth="1"/>
    <col min="16" max="16" width="18.5703125" bestFit="1" customWidth="1"/>
  </cols>
  <sheetData>
    <row r="1" spans="1:17" ht="15" customHeight="1" x14ac:dyDescent="0.25">
      <c r="A1" s="176" t="s">
        <v>17</v>
      </c>
      <c r="B1" s="177"/>
      <c r="C1" s="7" t="s">
        <v>21</v>
      </c>
      <c r="D1" s="7"/>
      <c r="E1" s="7"/>
      <c r="F1" s="178"/>
      <c r="G1" s="178"/>
      <c r="H1" s="178"/>
      <c r="I1" s="178"/>
      <c r="J1" s="178"/>
      <c r="K1" s="178"/>
      <c r="L1" s="178"/>
      <c r="M1" s="180" t="s">
        <v>20</v>
      </c>
    </row>
    <row r="2" spans="1:17" ht="15.75" thickBot="1" x14ac:dyDescent="0.3">
      <c r="A2" s="219" t="s">
        <v>18</v>
      </c>
      <c r="B2" s="220"/>
      <c r="C2" s="1" t="s">
        <v>19</v>
      </c>
      <c r="D2" s="1"/>
      <c r="E2" s="1"/>
      <c r="F2" s="216"/>
      <c r="G2" s="216"/>
      <c r="H2" s="216"/>
      <c r="I2" s="216"/>
      <c r="J2" s="216"/>
      <c r="K2" s="216"/>
      <c r="L2" s="216"/>
      <c r="M2" s="217"/>
    </row>
    <row r="3" spans="1:17" ht="94.5" customHeight="1" x14ac:dyDescent="0.25">
      <c r="A3" s="221" t="s">
        <v>0</v>
      </c>
      <c r="B3" s="223" t="s">
        <v>1</v>
      </c>
      <c r="C3" s="54" t="s">
        <v>2</v>
      </c>
      <c r="D3" s="53" t="s">
        <v>127</v>
      </c>
      <c r="E3" s="53" t="s">
        <v>127</v>
      </c>
      <c r="F3" s="53" t="s">
        <v>5</v>
      </c>
      <c r="G3" s="53" t="s">
        <v>6</v>
      </c>
      <c r="H3" s="53" t="s">
        <v>8</v>
      </c>
      <c r="I3" s="53" t="s">
        <v>135</v>
      </c>
      <c r="J3" s="53" t="s">
        <v>126</v>
      </c>
      <c r="K3" s="53" t="s">
        <v>128</v>
      </c>
      <c r="L3" s="53" t="s">
        <v>125</v>
      </c>
      <c r="M3" s="217"/>
    </row>
    <row r="4" spans="1:17" ht="15.75" thickBot="1" x14ac:dyDescent="0.3">
      <c r="A4" s="222"/>
      <c r="B4" s="224"/>
      <c r="C4" s="40"/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/>
      <c r="L4" s="3">
        <v>1</v>
      </c>
      <c r="M4" s="218"/>
    </row>
    <row r="5" spans="1:17" ht="24" customHeight="1" x14ac:dyDescent="0.25">
      <c r="A5" s="65">
        <v>1</v>
      </c>
      <c r="B5" s="70" t="s">
        <v>140</v>
      </c>
      <c r="C5" s="158" t="s">
        <v>240</v>
      </c>
      <c r="D5" s="141"/>
      <c r="E5" s="141"/>
      <c r="F5" s="146"/>
      <c r="G5" s="137" t="s">
        <v>49</v>
      </c>
      <c r="H5" s="137"/>
      <c r="I5" s="137" t="s">
        <v>49</v>
      </c>
      <c r="J5" s="137" t="s">
        <v>49</v>
      </c>
      <c r="K5" s="137" t="s">
        <v>49</v>
      </c>
      <c r="L5" s="137" t="s">
        <v>49</v>
      </c>
      <c r="M5" s="66">
        <f t="shared" ref="M5:M29" si="0">COUNTIF(E5:L5,"x")</f>
        <v>5</v>
      </c>
      <c r="O5" t="s">
        <v>133</v>
      </c>
      <c r="P5" t="s">
        <v>134</v>
      </c>
      <c r="Q5" t="s">
        <v>47</v>
      </c>
    </row>
    <row r="6" spans="1:17" ht="24" customHeight="1" x14ac:dyDescent="0.25">
      <c r="A6" s="65">
        <v>2</v>
      </c>
      <c r="B6" s="71" t="s">
        <v>141</v>
      </c>
      <c r="C6" s="158" t="s">
        <v>241</v>
      </c>
      <c r="D6" s="141"/>
      <c r="E6" s="141"/>
      <c r="F6" s="137"/>
      <c r="G6" s="137"/>
      <c r="H6" s="137"/>
      <c r="I6" s="137"/>
      <c r="J6" s="137"/>
      <c r="K6" s="137" t="s">
        <v>49</v>
      </c>
      <c r="L6" s="137" t="s">
        <v>49</v>
      </c>
      <c r="M6" s="66">
        <f t="shared" si="0"/>
        <v>2</v>
      </c>
      <c r="O6" s="55" t="s">
        <v>24</v>
      </c>
      <c r="P6">
        <f>COUNTIF($M$5:$M$29,"0")</f>
        <v>11</v>
      </c>
      <c r="Q6" s="56">
        <f>P6/$P$16</f>
        <v>0.44</v>
      </c>
    </row>
    <row r="7" spans="1:17" ht="24" customHeight="1" x14ac:dyDescent="0.25">
      <c r="A7" s="65">
        <v>3</v>
      </c>
      <c r="B7" s="71" t="s">
        <v>142</v>
      </c>
      <c r="C7" s="158" t="s">
        <v>242</v>
      </c>
      <c r="D7" s="141"/>
      <c r="E7" s="141"/>
      <c r="F7" s="137"/>
      <c r="G7" s="137"/>
      <c r="H7" s="137" t="s">
        <v>49</v>
      </c>
      <c r="I7" s="137"/>
      <c r="J7" s="137" t="s">
        <v>49</v>
      </c>
      <c r="K7" s="137"/>
      <c r="L7" s="137" t="s">
        <v>49</v>
      </c>
      <c r="M7" s="66">
        <f t="shared" si="0"/>
        <v>3</v>
      </c>
      <c r="O7" s="55" t="s">
        <v>25</v>
      </c>
      <c r="P7">
        <f>COUNTIF($M$5:$M$29,"1")</f>
        <v>2</v>
      </c>
      <c r="Q7" s="56">
        <f t="shared" ref="Q7:Q15" si="1">P7/$P$16</f>
        <v>0.08</v>
      </c>
    </row>
    <row r="8" spans="1:17" ht="24" customHeight="1" x14ac:dyDescent="0.25">
      <c r="A8" s="65">
        <v>4</v>
      </c>
      <c r="B8" s="71" t="s">
        <v>143</v>
      </c>
      <c r="C8" s="158" t="s">
        <v>243</v>
      </c>
      <c r="D8" s="141"/>
      <c r="E8" s="141" t="s">
        <v>49</v>
      </c>
      <c r="F8" s="137"/>
      <c r="G8" s="137"/>
      <c r="H8" s="137"/>
      <c r="I8" s="137"/>
      <c r="J8" s="137"/>
      <c r="K8" s="137"/>
      <c r="L8" s="137"/>
      <c r="M8" s="66">
        <f t="shared" si="0"/>
        <v>1</v>
      </c>
      <c r="O8" s="55" t="s">
        <v>26</v>
      </c>
      <c r="P8">
        <f>COUNTIF($M$5:$M$29,"2")</f>
        <v>3</v>
      </c>
      <c r="Q8" s="56">
        <f t="shared" si="1"/>
        <v>0.12</v>
      </c>
    </row>
    <row r="9" spans="1:17" ht="24" customHeight="1" x14ac:dyDescent="0.25">
      <c r="A9" s="65">
        <v>5</v>
      </c>
      <c r="B9" s="71" t="s">
        <v>144</v>
      </c>
      <c r="C9" s="158" t="s">
        <v>244</v>
      </c>
      <c r="D9" s="141"/>
      <c r="E9" s="141"/>
      <c r="F9" s="137"/>
      <c r="G9" s="137"/>
      <c r="H9" s="137" t="s">
        <v>49</v>
      </c>
      <c r="I9" s="137"/>
      <c r="J9" s="137" t="s">
        <v>49</v>
      </c>
      <c r="K9" s="137"/>
      <c r="L9" s="137"/>
      <c r="M9" s="66">
        <f t="shared" si="0"/>
        <v>2</v>
      </c>
      <c r="O9" s="55" t="s">
        <v>27</v>
      </c>
      <c r="P9">
        <f>COUNTIF($M$5:$M$29,"3")</f>
        <v>2</v>
      </c>
      <c r="Q9" s="56">
        <f t="shared" si="1"/>
        <v>0.08</v>
      </c>
    </row>
    <row r="10" spans="1:17" ht="24" customHeight="1" x14ac:dyDescent="0.25">
      <c r="A10" s="65">
        <v>6</v>
      </c>
      <c r="B10" s="71" t="s">
        <v>145</v>
      </c>
      <c r="C10" s="158" t="s">
        <v>245</v>
      </c>
      <c r="D10" s="141"/>
      <c r="E10" s="141"/>
      <c r="F10" s="137"/>
      <c r="G10" s="137" t="s">
        <v>49</v>
      </c>
      <c r="H10" s="137" t="s">
        <v>49</v>
      </c>
      <c r="I10" s="137"/>
      <c r="J10" s="137" t="s">
        <v>49</v>
      </c>
      <c r="K10" s="137"/>
      <c r="L10" s="137" t="s">
        <v>49</v>
      </c>
      <c r="M10" s="66">
        <f t="shared" si="0"/>
        <v>4</v>
      </c>
      <c r="O10" s="55" t="s">
        <v>28</v>
      </c>
      <c r="P10">
        <f>COUNTIF($M$5:$M$29,"4")</f>
        <v>3</v>
      </c>
      <c r="Q10" s="56">
        <f t="shared" si="1"/>
        <v>0.12</v>
      </c>
    </row>
    <row r="11" spans="1:17" ht="24" customHeight="1" x14ac:dyDescent="0.25">
      <c r="A11" s="65">
        <v>7</v>
      </c>
      <c r="B11" s="71" t="s">
        <v>146</v>
      </c>
      <c r="C11" s="158" t="s">
        <v>246</v>
      </c>
      <c r="D11" s="141"/>
      <c r="E11" s="141"/>
      <c r="F11" s="137"/>
      <c r="G11" s="137"/>
      <c r="H11" s="137"/>
      <c r="I11" s="137"/>
      <c r="J11" s="137"/>
      <c r="K11" s="137"/>
      <c r="L11" s="137"/>
      <c r="M11" s="66">
        <f t="shared" si="0"/>
        <v>0</v>
      </c>
      <c r="O11" s="55" t="s">
        <v>29</v>
      </c>
      <c r="P11">
        <f>COUNTIF($M$5:$M$29,"5")</f>
        <v>3</v>
      </c>
      <c r="Q11" s="56">
        <f t="shared" si="1"/>
        <v>0.12</v>
      </c>
    </row>
    <row r="12" spans="1:17" ht="24" customHeight="1" x14ac:dyDescent="0.25">
      <c r="A12" s="65">
        <v>8</v>
      </c>
      <c r="B12" s="71" t="s">
        <v>147</v>
      </c>
      <c r="C12" s="158" t="s">
        <v>247</v>
      </c>
      <c r="D12" s="141"/>
      <c r="E12" s="141" t="s">
        <v>49</v>
      </c>
      <c r="F12" s="137"/>
      <c r="G12" s="137"/>
      <c r="H12" s="137" t="s">
        <v>49</v>
      </c>
      <c r="I12" s="137"/>
      <c r="J12" s="137" t="s">
        <v>49</v>
      </c>
      <c r="K12" s="137" t="s">
        <v>49</v>
      </c>
      <c r="L12" s="137" t="s">
        <v>49</v>
      </c>
      <c r="M12" s="66">
        <f t="shared" si="0"/>
        <v>5</v>
      </c>
      <c r="O12" s="55" t="s">
        <v>30</v>
      </c>
      <c r="P12">
        <f>COUNTIF($M$5:$M$29,"6")</f>
        <v>0</v>
      </c>
      <c r="Q12" s="56">
        <f t="shared" si="1"/>
        <v>0</v>
      </c>
    </row>
    <row r="13" spans="1:17" ht="24" customHeight="1" x14ac:dyDescent="0.25">
      <c r="A13" s="65">
        <v>9</v>
      </c>
      <c r="B13" s="71" t="s">
        <v>148</v>
      </c>
      <c r="C13" s="158" t="s">
        <v>248</v>
      </c>
      <c r="D13" s="141"/>
      <c r="E13" s="141"/>
      <c r="F13" s="137"/>
      <c r="G13" s="137"/>
      <c r="H13" s="137"/>
      <c r="I13" s="137"/>
      <c r="J13" s="137"/>
      <c r="K13" s="137"/>
      <c r="L13" s="137"/>
      <c r="M13" s="66">
        <f t="shared" si="0"/>
        <v>0</v>
      </c>
      <c r="O13" s="55" t="s">
        <v>31</v>
      </c>
      <c r="P13">
        <f>COUNTIF($M$5:$M$29,"7")</f>
        <v>1</v>
      </c>
      <c r="Q13" s="56">
        <f t="shared" si="1"/>
        <v>0.04</v>
      </c>
    </row>
    <row r="14" spans="1:17" ht="24" customHeight="1" x14ac:dyDescent="0.25">
      <c r="A14" s="65">
        <v>10</v>
      </c>
      <c r="B14" s="71" t="s">
        <v>149</v>
      </c>
      <c r="C14" s="158" t="s">
        <v>249</v>
      </c>
      <c r="D14" s="141"/>
      <c r="E14" s="141"/>
      <c r="F14" s="137"/>
      <c r="G14" s="137"/>
      <c r="H14" s="137"/>
      <c r="I14" s="137"/>
      <c r="J14" s="137"/>
      <c r="K14" s="137"/>
      <c r="L14" s="137"/>
      <c r="M14" s="66">
        <f t="shared" si="0"/>
        <v>0</v>
      </c>
      <c r="O14" s="55" t="s">
        <v>32</v>
      </c>
      <c r="P14">
        <f>COUNTIF($M$5:$M$29,"8")</f>
        <v>0</v>
      </c>
      <c r="Q14" s="56">
        <f t="shared" si="1"/>
        <v>0</v>
      </c>
    </row>
    <row r="15" spans="1:17" ht="24" customHeight="1" x14ac:dyDescent="0.25">
      <c r="A15" s="65">
        <v>11</v>
      </c>
      <c r="B15" s="71" t="s">
        <v>150</v>
      </c>
      <c r="C15" s="158" t="s">
        <v>250</v>
      </c>
      <c r="D15" s="141"/>
      <c r="E15" s="141"/>
      <c r="F15" s="137"/>
      <c r="G15" s="137" t="s">
        <v>49</v>
      </c>
      <c r="H15" s="137"/>
      <c r="I15" s="137"/>
      <c r="J15" s="137" t="s">
        <v>49</v>
      </c>
      <c r="K15" s="137" t="s">
        <v>49</v>
      </c>
      <c r="L15" s="137" t="s">
        <v>49</v>
      </c>
      <c r="M15" s="66">
        <f t="shared" si="0"/>
        <v>4</v>
      </c>
      <c r="O15" s="55"/>
      <c r="Q15" s="56">
        <f t="shared" si="1"/>
        <v>0</v>
      </c>
    </row>
    <row r="16" spans="1:17" ht="24" customHeight="1" x14ac:dyDescent="0.25">
      <c r="A16" s="65">
        <v>12</v>
      </c>
      <c r="B16" s="71" t="s">
        <v>151</v>
      </c>
      <c r="C16" s="158" t="s">
        <v>251</v>
      </c>
      <c r="D16" s="141"/>
      <c r="E16" s="141"/>
      <c r="F16" s="137"/>
      <c r="G16" s="137"/>
      <c r="H16" s="137"/>
      <c r="I16" s="137"/>
      <c r="J16" s="137"/>
      <c r="K16" s="137"/>
      <c r="L16" s="137"/>
      <c r="M16" s="66">
        <f t="shared" si="0"/>
        <v>0</v>
      </c>
      <c r="P16">
        <f>SUM(P6:P15)</f>
        <v>25</v>
      </c>
    </row>
    <row r="17" spans="1:16" ht="24" customHeight="1" x14ac:dyDescent="0.25">
      <c r="A17" s="65">
        <v>13</v>
      </c>
      <c r="B17" s="71" t="s">
        <v>152</v>
      </c>
      <c r="C17" s="158" t="s">
        <v>252</v>
      </c>
      <c r="D17" s="141"/>
      <c r="E17" s="141"/>
      <c r="F17" s="137"/>
      <c r="G17" s="137"/>
      <c r="H17" s="137"/>
      <c r="I17" s="137"/>
      <c r="J17" s="137"/>
      <c r="K17" s="137"/>
      <c r="L17" s="137"/>
      <c r="M17" s="66">
        <f t="shared" si="0"/>
        <v>0</v>
      </c>
    </row>
    <row r="18" spans="1:16" ht="24" customHeight="1" x14ac:dyDescent="0.25">
      <c r="A18" s="65">
        <v>14</v>
      </c>
      <c r="B18" s="71" t="s">
        <v>153</v>
      </c>
      <c r="C18" s="158" t="s">
        <v>253</v>
      </c>
      <c r="D18" s="141"/>
      <c r="E18" s="141"/>
      <c r="F18" s="137"/>
      <c r="G18" s="137" t="s">
        <v>49</v>
      </c>
      <c r="H18" s="137"/>
      <c r="I18" s="137"/>
      <c r="J18" s="137"/>
      <c r="K18" s="137"/>
      <c r="L18" s="137"/>
      <c r="M18" s="66">
        <f t="shared" si="0"/>
        <v>1</v>
      </c>
    </row>
    <row r="19" spans="1:16" ht="24" customHeight="1" x14ac:dyDescent="0.25">
      <c r="A19" s="65">
        <v>15</v>
      </c>
      <c r="B19" s="71" t="s">
        <v>154</v>
      </c>
      <c r="C19" s="158" t="s">
        <v>254</v>
      </c>
      <c r="D19" s="141"/>
      <c r="E19" s="141" t="s">
        <v>49</v>
      </c>
      <c r="F19" s="137"/>
      <c r="G19" s="137" t="s">
        <v>49</v>
      </c>
      <c r="H19" s="137"/>
      <c r="I19" s="137"/>
      <c r="J19" s="137" t="s">
        <v>49</v>
      </c>
      <c r="K19" s="137" t="s">
        <v>49</v>
      </c>
      <c r="L19" s="137" t="s">
        <v>49</v>
      </c>
      <c r="M19" s="66">
        <f t="shared" si="0"/>
        <v>5</v>
      </c>
    </row>
    <row r="20" spans="1:16" ht="24" customHeight="1" x14ac:dyDescent="0.25">
      <c r="A20" s="65">
        <v>16</v>
      </c>
      <c r="B20" s="71" t="s">
        <v>155</v>
      </c>
      <c r="C20" s="158" t="s">
        <v>255</v>
      </c>
      <c r="D20" s="141"/>
      <c r="E20" s="141"/>
      <c r="F20" s="137"/>
      <c r="G20" s="137"/>
      <c r="H20" s="137"/>
      <c r="I20" s="137"/>
      <c r="J20" s="137"/>
      <c r="K20" s="137"/>
      <c r="L20" s="137"/>
      <c r="M20" s="66">
        <f t="shared" si="0"/>
        <v>0</v>
      </c>
    </row>
    <row r="21" spans="1:16" ht="24" customHeight="1" x14ac:dyDescent="0.25">
      <c r="A21" s="65">
        <v>17</v>
      </c>
      <c r="B21" s="71" t="s">
        <v>156</v>
      </c>
      <c r="C21" s="158" t="s">
        <v>256</v>
      </c>
      <c r="D21" s="141"/>
      <c r="E21" s="141"/>
      <c r="F21" s="137"/>
      <c r="G21" s="137"/>
      <c r="H21" s="137"/>
      <c r="I21" s="137"/>
      <c r="J21" s="137"/>
      <c r="K21" s="137"/>
      <c r="L21" s="137"/>
      <c r="M21" s="66">
        <f t="shared" si="0"/>
        <v>0</v>
      </c>
      <c r="P21">
        <f>SUM(P6:P8)</f>
        <v>16</v>
      </c>
    </row>
    <row r="22" spans="1:16" ht="24" customHeight="1" x14ac:dyDescent="0.25">
      <c r="A22" s="65">
        <v>18</v>
      </c>
      <c r="B22" s="71" t="s">
        <v>157</v>
      </c>
      <c r="C22" s="158" t="s">
        <v>257</v>
      </c>
      <c r="D22" s="141"/>
      <c r="E22" s="141" t="s">
        <v>49</v>
      </c>
      <c r="F22" s="137"/>
      <c r="G22" s="137" t="s">
        <v>49</v>
      </c>
      <c r="H22" s="137" t="s">
        <v>49</v>
      </c>
      <c r="I22" s="137" t="s">
        <v>49</v>
      </c>
      <c r="J22" s="137" t="s">
        <v>49</v>
      </c>
      <c r="K22" s="137" t="s">
        <v>49</v>
      </c>
      <c r="L22" s="137" t="s">
        <v>49</v>
      </c>
      <c r="M22" s="66">
        <f t="shared" si="0"/>
        <v>7</v>
      </c>
    </row>
    <row r="23" spans="1:16" ht="24" customHeight="1" x14ac:dyDescent="0.25">
      <c r="A23" s="65">
        <v>19</v>
      </c>
      <c r="B23" s="71" t="s">
        <v>158</v>
      </c>
      <c r="C23" s="158" t="s">
        <v>258</v>
      </c>
      <c r="D23" s="141"/>
      <c r="E23" s="141"/>
      <c r="F23" s="137"/>
      <c r="G23" s="137"/>
      <c r="H23" s="137" t="s">
        <v>49</v>
      </c>
      <c r="I23" s="137"/>
      <c r="J23" s="137"/>
      <c r="K23" s="137"/>
      <c r="L23" s="137" t="s">
        <v>49</v>
      </c>
      <c r="M23" s="66">
        <f t="shared" si="0"/>
        <v>2</v>
      </c>
    </row>
    <row r="24" spans="1:16" ht="24" customHeight="1" x14ac:dyDescent="0.25">
      <c r="A24" s="65">
        <v>20</v>
      </c>
      <c r="B24" s="71" t="s">
        <v>159</v>
      </c>
      <c r="C24" s="158" t="s">
        <v>259</v>
      </c>
      <c r="D24" s="141"/>
      <c r="E24" s="141" t="s">
        <v>49</v>
      </c>
      <c r="F24" s="137"/>
      <c r="G24" s="137" t="s">
        <v>49</v>
      </c>
      <c r="H24" s="137" t="s">
        <v>49</v>
      </c>
      <c r="I24" s="137"/>
      <c r="J24" s="137"/>
      <c r="K24" s="137"/>
      <c r="L24" s="137" t="s">
        <v>49</v>
      </c>
      <c r="M24" s="66">
        <f t="shared" si="0"/>
        <v>4</v>
      </c>
    </row>
    <row r="25" spans="1:16" ht="24" customHeight="1" x14ac:dyDescent="0.25">
      <c r="A25" s="65">
        <v>21</v>
      </c>
      <c r="B25" s="71" t="s">
        <v>160</v>
      </c>
      <c r="C25" s="158" t="s">
        <v>260</v>
      </c>
      <c r="D25" s="141"/>
      <c r="E25" s="141" t="s">
        <v>49</v>
      </c>
      <c r="F25" s="137"/>
      <c r="G25" s="137"/>
      <c r="H25" s="137"/>
      <c r="I25" s="137"/>
      <c r="J25" s="137"/>
      <c r="K25" s="137" t="s">
        <v>49</v>
      </c>
      <c r="L25" s="137" t="s">
        <v>49</v>
      </c>
      <c r="M25" s="66">
        <f t="shared" si="0"/>
        <v>3</v>
      </c>
    </row>
    <row r="26" spans="1:16" ht="24" customHeight="1" x14ac:dyDescent="0.25">
      <c r="A26" s="65">
        <v>22</v>
      </c>
      <c r="B26" s="71" t="s">
        <v>161</v>
      </c>
      <c r="C26" s="158" t="s">
        <v>261</v>
      </c>
      <c r="D26" s="141"/>
      <c r="E26" s="141"/>
      <c r="F26" s="137"/>
      <c r="G26" s="137"/>
      <c r="H26" s="137"/>
      <c r="I26" s="137"/>
      <c r="J26" s="137"/>
      <c r="K26" s="137"/>
      <c r="L26" s="137"/>
      <c r="M26" s="66">
        <f t="shared" si="0"/>
        <v>0</v>
      </c>
    </row>
    <row r="27" spans="1:16" ht="24" customHeight="1" x14ac:dyDescent="0.25">
      <c r="A27" s="65">
        <v>23</v>
      </c>
      <c r="B27" s="71" t="s">
        <v>162</v>
      </c>
      <c r="C27" s="158" t="s">
        <v>262</v>
      </c>
      <c r="D27" s="141"/>
      <c r="E27" s="141"/>
      <c r="F27" s="137"/>
      <c r="G27" s="137"/>
      <c r="H27" s="137"/>
      <c r="I27" s="137"/>
      <c r="J27" s="137"/>
      <c r="K27" s="137"/>
      <c r="L27" s="137"/>
      <c r="M27" s="66">
        <f t="shared" si="0"/>
        <v>0</v>
      </c>
    </row>
    <row r="28" spans="1:16" ht="24" customHeight="1" x14ac:dyDescent="0.25">
      <c r="A28" s="65">
        <v>24</v>
      </c>
      <c r="B28" s="71" t="s">
        <v>163</v>
      </c>
      <c r="C28" s="158" t="s">
        <v>263</v>
      </c>
      <c r="D28" s="141"/>
      <c r="E28" s="141"/>
      <c r="F28" s="137"/>
      <c r="G28" s="137"/>
      <c r="H28" s="137"/>
      <c r="I28" s="137"/>
      <c r="J28" s="137"/>
      <c r="K28" s="137"/>
      <c r="L28" s="137"/>
      <c r="M28" s="66">
        <f t="shared" si="0"/>
        <v>0</v>
      </c>
    </row>
    <row r="29" spans="1:16" ht="24" customHeight="1" x14ac:dyDescent="0.25">
      <c r="A29" s="65">
        <v>25</v>
      </c>
      <c r="B29" s="71" t="s">
        <v>164</v>
      </c>
      <c r="C29" s="158" t="s">
        <v>264</v>
      </c>
      <c r="D29" s="141"/>
      <c r="E29" s="141"/>
      <c r="F29" s="137"/>
      <c r="G29" s="137"/>
      <c r="H29" s="137"/>
      <c r="I29" s="137"/>
      <c r="J29" s="137"/>
      <c r="K29" s="137"/>
      <c r="L29" s="137"/>
      <c r="M29" s="66">
        <f t="shared" si="0"/>
        <v>0</v>
      </c>
    </row>
    <row r="30" spans="1:16" ht="15.75" thickBot="1" x14ac:dyDescent="0.3">
      <c r="E30" s="142"/>
      <c r="F30" s="137"/>
      <c r="G30" s="137"/>
      <c r="I30" s="138"/>
      <c r="J30" s="138"/>
    </row>
    <row r="31" spans="1:16" ht="15.75" thickBot="1" x14ac:dyDescent="0.3">
      <c r="F31" s="138"/>
      <c r="G31" s="138"/>
    </row>
  </sheetData>
  <mergeCells count="6">
    <mergeCell ref="M1:M4"/>
    <mergeCell ref="A1:B1"/>
    <mergeCell ref="A2:B2"/>
    <mergeCell ref="A3:A4"/>
    <mergeCell ref="B3:B4"/>
    <mergeCell ref="F1:L2"/>
  </mergeCells>
  <conditionalFormatting sqref="C5:D29">
    <cfRule type="cellIs" dxfId="6" priority="9" operator="equal">
      <formula>"X"</formula>
    </cfRule>
  </conditionalFormatting>
  <conditionalFormatting sqref="E5:E30">
    <cfRule type="cellIs" dxfId="5" priority="1" operator="equal">
      <formula>"X"</formula>
    </cfRule>
  </conditionalFormatting>
  <conditionalFormatting sqref="F6:F31">
    <cfRule type="cellIs" dxfId="4" priority="8" operator="equal">
      <formula>"X"</formula>
    </cfRule>
  </conditionalFormatting>
  <conditionalFormatting sqref="G30:G31">
    <cfRule type="cellIs" dxfId="3" priority="7" operator="equal">
      <formula>"X"</formula>
    </cfRule>
  </conditionalFormatting>
  <conditionalFormatting sqref="G5:H29">
    <cfRule type="cellIs" dxfId="2" priority="6" operator="equal">
      <formula>"X"</formula>
    </cfRule>
  </conditionalFormatting>
  <conditionalFormatting sqref="I5:J30">
    <cfRule type="cellIs" dxfId="1" priority="4" operator="equal">
      <formula>"X"</formula>
    </cfRule>
  </conditionalFormatting>
  <conditionalFormatting sqref="K5:L29">
    <cfRule type="cellIs" dxfId="0" priority="2" operator="equal">
      <formula>"X"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Informe 6-5</vt:lpstr>
      <vt:lpstr>informe PARCIAL 1 periodo (2)</vt:lpstr>
      <vt:lpstr>Hoja5</vt:lpstr>
      <vt:lpstr>informe Final 2 periodo</vt:lpstr>
      <vt:lpstr>INFORME FINAL 2DO PERIODO</vt:lpstr>
      <vt:lpstr>Informe</vt:lpstr>
      <vt:lpstr>Hoja3</vt:lpstr>
      <vt:lpstr>Estadisticas</vt:lpstr>
      <vt:lpstr>Estadisticas IPERIODO</vt:lpstr>
      <vt:lpstr>Hoja4</vt:lpstr>
      <vt:lpstr>Hoja2</vt:lpstr>
      <vt:lpstr>Hoja1</vt:lpstr>
      <vt:lpstr>Estadisticas!BDNOTAS</vt:lpstr>
      <vt:lpstr>'Estadisticas IPERIODO'!BDNOTAS</vt:lpstr>
      <vt:lpstr>'informe PARCIAL 1 periodo (2)'!BDNOTAS</vt:lpstr>
      <vt:lpstr>BDNOTAS</vt:lpstr>
    </vt:vector>
  </TitlesOfParts>
  <Company>SECRETARIA DE EDUCACION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ANGELA RESTREPO</dc:creator>
  <cp:lastModifiedBy>Javier Ospina Moreno</cp:lastModifiedBy>
  <cp:lastPrinted>2017-03-09T12:25:03Z</cp:lastPrinted>
  <dcterms:created xsi:type="dcterms:W3CDTF">2013-04-17T20:00:56Z</dcterms:created>
  <dcterms:modified xsi:type="dcterms:W3CDTF">2025-08-24T05:19:57Z</dcterms:modified>
</cp:coreProperties>
</file>